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 codeName="{37E998C4-C9E5-D4B9-71C8-EB1FF731991C}"/>
  <workbookPr codeName="ThisWorkbook"/>
  <bookViews>
    <workbookView xWindow="0" yWindow="0" windowWidth="16815" windowHeight="7755"/>
  </bookViews>
  <sheets>
    <sheet name="SFD" sheetId="8" r:id="rId1"/>
    <sheet name="Input sheet" sheetId="10" r:id="rId2"/>
    <sheet name="Calculation sheet" sheetId="9" state="hidden" r:id="rId3"/>
  </sheets>
  <definedNames>
    <definedName name="Bathroom" localSheetId="2">'Calculation sheet'!$C$7:$F$7</definedName>
    <definedName name="Bathroom_Drains" localSheetId="2">'Calculation sheet'!$C$74:$F$74</definedName>
    <definedName name="Bathroom_Drains" localSheetId="0">SFD!$I$67</definedName>
    <definedName name="Bathroom_Drains_Treated_Exit" localSheetId="0">SFD!$L$67</definedName>
    <definedName name="Bathroom_Drains_Untreated_WaterbodiesExit" localSheetId="0">SFD!$N$68</definedName>
    <definedName name="Bathroom_Septic" localSheetId="2">'Calculation sheet'!$C$36:$F$36</definedName>
    <definedName name="Bathroom_Septic" localSheetId="0">SFD!$D$71</definedName>
    <definedName name="Bathroom_Sewerage" localSheetId="2">'Calculation sheet'!#REF!</definedName>
    <definedName name="Bathroom_Sewerage" localSheetId="0">SFD!$D$69</definedName>
    <definedName name="BathroomKitchen" localSheetId="0">SFD!$C$68</definedName>
    <definedName name="Cities">'Calculation sheet'!$C$3:$F$3</definedName>
    <definedName name="CommToilet" localSheetId="2">'Calculation sheet'!$C$12:$F$12</definedName>
    <definedName name="CommToilet" localSheetId="0">SFD!$C$84</definedName>
    <definedName name="CommToilet_Septic" localSheetId="2">'Calculation sheet'!$C$39:$F$39</definedName>
    <definedName name="CommToilet_Septic" localSheetId="0">SFD!$D$84</definedName>
    <definedName name="CommToilet_Sewerage" localSheetId="2">'Calculation sheet'!$C$27:$F$27</definedName>
    <definedName name="CommToilet_Sewerage" localSheetId="0">SFD!$D$83</definedName>
    <definedName name="ConveyedDrains" localSheetId="0">SFD!Bathroom_Drains</definedName>
    <definedName name="DoublePit_SafelyAbandoned" localSheetId="2">'Calculation sheet'!$C$58:$F$58</definedName>
    <definedName name="DoublePit_SafelyAbandoned" localSheetId="0">SFD!$G$79</definedName>
    <definedName name="IndToilet" localSheetId="2">'Calculation sheet'!$C$9:$F$9</definedName>
    <definedName name="IndToilet" localSheetId="0">SFD!$C$78</definedName>
    <definedName name="IndToilet_DoublePit" localSheetId="2">'Calculation sheet'!$C$48:$F$48</definedName>
    <definedName name="IndToilet_DoublePit" localSheetId="0">SFD!$D$79</definedName>
    <definedName name="IndToilet_Septic" localSheetId="2">'Calculation sheet'!$C$33:$F$33</definedName>
    <definedName name="IndToilet_Septic" localSheetId="0">SFD!$D$78</definedName>
    <definedName name="IndToilet_Sewerage" localSheetId="2">'Calculation sheet'!$C$21:$F$21</definedName>
    <definedName name="IndToilet_Sewerage" localSheetId="0">SFD!$D$77</definedName>
    <definedName name="IndToilet_SinglePit" localSheetId="2">'Calculation sheet'!$C$44:$F$44</definedName>
    <definedName name="IndToilet_SinglePit" localSheetId="0">SFD!$D$80</definedName>
    <definedName name="ModBathroom_Drains" localSheetId="0">SFD!$D$104</definedName>
    <definedName name="ModBathroom_Drains_Treated_Exit" localSheetId="0">SFD!$D$106</definedName>
    <definedName name="ModBathroom_Drains_Untreated_WaterbodiesExit" localSheetId="0">SFD!$D$105</definedName>
    <definedName name="ModBathroom_Septic" localSheetId="0">SFD!$D$107</definedName>
    <definedName name="ModBathroom_Sewerage" localSheetId="0">SFD!$D$108</definedName>
    <definedName name="ModCommToilet_Septic" localSheetId="0">SFD!$D$114</definedName>
    <definedName name="ModCommToilet_Sewerage" localSheetId="0">SFD!$D$113</definedName>
    <definedName name="ModDoublePit_SafelyAbandoned" localSheetId="0">SFD!$D$129</definedName>
    <definedName name="ModIndToilet_DoublePit" localSheetId="0">SFD!$D$111</definedName>
    <definedName name="ModIndToilet_Septic" localSheetId="0">SFD!$D$110</definedName>
    <definedName name="ModIndToilet_Sewerage" localSheetId="0">SFD!$D$109</definedName>
    <definedName name="ModIndToilet_SinglePit" localSheetId="0">SFD!$D$112</definedName>
    <definedName name="ModOD_Environment" localSheetId="0">SFD!$D$130</definedName>
    <definedName name="ModSepticTank_Effluent" localSheetId="0">SFD!$D$119</definedName>
    <definedName name="ModSepticTank_SafeEmpty" localSheetId="0">SFD!$D$124</definedName>
    <definedName name="ModSepticTank_SafeEmpty_Treated_Exit" localSheetId="0">SFD!$D$127</definedName>
    <definedName name="ModSepticTank_SafeEmpty_UnTreated_Exit" localSheetId="0">SFD!$D$128</definedName>
    <definedName name="ModSepticTank_SettledSewer" localSheetId="0">SFD!$D$121</definedName>
    <definedName name="ModSepticTank_SoakPit" localSheetId="0">SFD!$D$132</definedName>
    <definedName name="ModSepticTank_SoakPit_Exit" localSheetId="0">SFD!$D$120</definedName>
    <definedName name="ModSepticTank_Treated_Exit" localSheetId="0">SFD!$D$127</definedName>
    <definedName name="ModSepticTank_UnSafeEmpty" localSheetId="0">SFD!$D$125</definedName>
    <definedName name="ModSepticTank_UnSafeEmpty_Exit" localSheetId="0">SFD!$D$126</definedName>
    <definedName name="ModSepticTank_UnTreated_Exit" localSheetId="0">SFD!$D$128</definedName>
    <definedName name="ModSettledSewer_Treated_Exit" localSheetId="0">SFD!$D$122</definedName>
    <definedName name="ModSettledSewer_UnTreated_Exit" localSheetId="0">SFD!$D$123</definedName>
    <definedName name="ModSettledSewerDrains_Treated_Exit" localSheetId="0">SFD!$D$122</definedName>
    <definedName name="ModSettledSewerDrains_UnTreated_Exit" localSheetId="0">SFD!$D$123</definedName>
    <definedName name="ModSewerage_NoTreatment" localSheetId="0">SFD!$D$117</definedName>
    <definedName name="ModSewerage_SafelyConveyed" localSheetId="0">SFD!$D$115</definedName>
    <definedName name="ModSewerage_Treated" localSheetId="0">SFD!$D$133</definedName>
    <definedName name="ModSewerage_Treated_Exit" localSheetId="0">SFD!$D$116</definedName>
    <definedName name="ModSewerage_Untreated_WaterbodiesExit" localSheetId="0">SFD!$D$118</definedName>
    <definedName name="ModSinglePit_Exit" localSheetId="0">SFD!$D$131</definedName>
    <definedName name="OD" localSheetId="0">SFD!$C$87</definedName>
    <definedName name="OD_Environment" localSheetId="2">'Calculation sheet'!$C$15:$F$15</definedName>
    <definedName name="OD_Environment" localSheetId="0">SFD!$D$86</definedName>
    <definedName name="Onsite" localSheetId="0">SFD!SepticTotal+SFD!IndToilet_DoublePit+SFD!IndToilet_SinglePit</definedName>
    <definedName name="OnsiteTotal" localSheetId="0">SFD!$F$81</definedName>
    <definedName name="SafeExit" localSheetId="0">SFD!$P$83</definedName>
    <definedName name="SelectCity">OFFSET(Cities,0,MATCH(SFD!$H$56,State,0)-1,1,COUNTIF(State,SFD!$H$56))</definedName>
    <definedName name="SepticTank_Effluent" localSheetId="2">'Calculation sheet'!#REF!</definedName>
    <definedName name="SepticTank_Effluent" localSheetId="0">SFD!$G$72</definedName>
    <definedName name="SepticTank_SafeEmpty" localSheetId="2">'Calculation sheet'!$C$56:$F$56</definedName>
    <definedName name="SepticTank_SafeEmpty" localSheetId="0">SFD!$G$75</definedName>
    <definedName name="SepticTank_SafeEmpty_Treated_Exit" localSheetId="0">SFD!$L$75</definedName>
    <definedName name="SepticTank_SafeEmpty_UnTreated_Exit" localSheetId="0">SFD!$L$76</definedName>
    <definedName name="SepticTank_SettledSewer" localSheetId="2">'Calculation sheet'!$C$68:$F$68</definedName>
    <definedName name="SepticTank_SettledSewer" localSheetId="0">SFD!$I$72</definedName>
    <definedName name="SepticTank_SoakPit" localSheetId="2">'Calculation sheet'!$C$72:$F$72</definedName>
    <definedName name="SepticTank_SoakPit" localSheetId="0">SFD!$I$74</definedName>
    <definedName name="SepticTank_SoakPit_Exit" localSheetId="0">SFD!$I$74</definedName>
    <definedName name="SepticTank_Treated_Exit" localSheetId="2">'Calculation sheet'!$C$82:$F$82</definedName>
    <definedName name="SepticTank_UnSafeEmpty" localSheetId="2">'Calculation sheet'!$C$57:$F$57</definedName>
    <definedName name="SepticTank_UnSafeEmpty" localSheetId="0">SFD!$G$77</definedName>
    <definedName name="SepticTank_UnSafeEmpty_Exit" localSheetId="0">SFD!$N$77</definedName>
    <definedName name="SepticTank_UnTreated_Exit" localSheetId="2">'Calculation sheet'!$C$83:$F$83</definedName>
    <definedName name="SepticTotal" localSheetId="0">SFD!$F$71</definedName>
    <definedName name="SettledSewer_Treated_Exit" localSheetId="2">'Calculation sheet'!$C$86:$F$86</definedName>
    <definedName name="SettledSewer_UnTreated_Exit" localSheetId="2">'Calculation sheet'!$C$87:$F$87</definedName>
    <definedName name="SettledSewerDrains_Treated_Exit" localSheetId="0">SFD!$L$72</definedName>
    <definedName name="SettledSewerDrains_UnTreated_Exit" localSheetId="0">SFD!$L$73</definedName>
    <definedName name="SettledSewersDrainsTotal" localSheetId="0">SFD!$K$72</definedName>
    <definedName name="Sewerage_NoTreatment" localSheetId="2">'Calculation sheet'!$C$79:$F$79</definedName>
    <definedName name="Sewerage_NoTreatment" localSheetId="0">SFD!$L$70</definedName>
    <definedName name="Sewerage_SafelyConveyed" localSheetId="2">'Calculation sheet'!$C$62:$F$62</definedName>
    <definedName name="Sewerage_SafelyConveyed" localSheetId="0">SFD!$I$69</definedName>
    <definedName name="Sewerage_Treated" localSheetId="0">SFD!$L$69</definedName>
    <definedName name="Sewerage_Treated_Exit" localSheetId="2">'Calculation sheet'!$C$78:$F$78</definedName>
    <definedName name="Sewerage_Treated_Exit" localSheetId="0">SFD!$N$69</definedName>
    <definedName name="Sewerage_Untreated_WaterbodiesExit" localSheetId="0">SFD!$N$70</definedName>
    <definedName name="SewerageTotal" localSheetId="0">SFD!$F$69</definedName>
    <definedName name="SinglePit_Exit" localSheetId="0">SFD!$G$80</definedName>
    <definedName name="State">'Calculation sheet'!$C$2:$F$2</definedName>
    <definedName name="Statelist">SFD!$J$56:$J$59</definedName>
    <definedName name="ULB" localSheetId="0">SFD!$E$2</definedName>
    <definedName name="UndergroundSewerage" localSheetId="0">SFD!$I$69</definedName>
    <definedName name="UnsafeExit" localSheetId="0">SFD!$P$82</definedName>
  </definedName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0"/>
  <c r="E15"/>
  <c r="F19"/>
  <c r="G19"/>
  <c r="D19"/>
  <c r="C56" i="8"/>
  <c r="D2" i="9"/>
  <c r="E2"/>
  <c r="F2"/>
  <c r="D3"/>
  <c r="E3"/>
  <c r="D91"/>
  <c r="F3"/>
  <c r="E91"/>
  <c r="C4"/>
  <c r="C5"/>
  <c r="C11"/>
  <c r="C20"/>
  <c r="C23"/>
  <c r="C24"/>
  <c r="C25"/>
  <c r="C26"/>
  <c r="C32"/>
  <c r="C43"/>
  <c r="C47"/>
  <c r="C53"/>
  <c r="C54"/>
  <c r="D4"/>
  <c r="E4"/>
  <c r="F4"/>
  <c r="D5"/>
  <c r="E5"/>
  <c r="F5"/>
  <c r="D11"/>
  <c r="D12"/>
  <c r="E11"/>
  <c r="F11"/>
  <c r="D20"/>
  <c r="E20"/>
  <c r="F20"/>
  <c r="D23"/>
  <c r="E23"/>
  <c r="F23"/>
  <c r="D25"/>
  <c r="E25"/>
  <c r="F25"/>
  <c r="F26"/>
  <c r="E26"/>
  <c r="D32"/>
  <c r="E32"/>
  <c r="F32"/>
  <c r="D43"/>
  <c r="E43"/>
  <c r="F43"/>
  <c r="D47"/>
  <c r="E47"/>
  <c r="F47"/>
  <c r="D53"/>
  <c r="E53"/>
  <c r="F53"/>
  <c r="D54"/>
  <c r="E54"/>
  <c r="F54"/>
  <c r="D77"/>
  <c r="E77"/>
  <c r="F77"/>
  <c r="D81"/>
  <c r="D82"/>
  <c r="E81"/>
  <c r="F81"/>
  <c r="F82"/>
  <c r="F91"/>
  <c r="D92"/>
  <c r="E92"/>
  <c r="F92"/>
  <c r="D93"/>
  <c r="E93"/>
  <c r="F93"/>
  <c r="D94"/>
  <c r="E94"/>
  <c r="F94"/>
  <c r="D96"/>
  <c r="E96"/>
  <c r="F96"/>
  <c r="D97"/>
  <c r="E97"/>
  <c r="F97"/>
  <c r="D98"/>
  <c r="E98"/>
  <c r="F98"/>
  <c r="D99"/>
  <c r="E99"/>
  <c r="F99"/>
  <c r="D101"/>
  <c r="E101"/>
  <c r="F101"/>
  <c r="D102"/>
  <c r="E102"/>
  <c r="F102"/>
  <c r="D104"/>
  <c r="E104"/>
  <c r="F104"/>
  <c r="F106"/>
  <c r="F107"/>
  <c r="F108"/>
  <c r="D109"/>
  <c r="E109"/>
  <c r="F109"/>
  <c r="D110"/>
  <c r="E110"/>
  <c r="F110"/>
  <c r="F115"/>
  <c r="F116"/>
  <c r="F117"/>
  <c r="F118"/>
  <c r="D119"/>
  <c r="E119"/>
  <c r="F119"/>
  <c r="D120"/>
  <c r="E120"/>
  <c r="F120"/>
  <c r="C81"/>
  <c r="C77"/>
  <c r="F24"/>
  <c r="D24"/>
  <c r="D26"/>
  <c r="F55"/>
  <c r="D55"/>
  <c r="E55"/>
  <c r="E12"/>
  <c r="E27"/>
  <c r="F12"/>
  <c r="C12"/>
  <c r="C27"/>
  <c r="C55"/>
  <c r="E24"/>
  <c r="C38"/>
  <c r="C39"/>
  <c r="E117"/>
  <c r="F27"/>
  <c r="F38"/>
  <c r="F39"/>
  <c r="E38"/>
  <c r="E39"/>
  <c r="F7" i="10"/>
  <c r="G7"/>
  <c r="D7"/>
  <c r="C8" i="9"/>
  <c r="C3"/>
  <c r="C2"/>
  <c r="C120"/>
  <c r="C119"/>
  <c r="C117"/>
  <c r="C110"/>
  <c r="C109"/>
  <c r="C104"/>
  <c r="C102"/>
  <c r="C101"/>
  <c r="C99"/>
  <c r="C98"/>
  <c r="C97"/>
  <c r="C96"/>
  <c r="C94"/>
  <c r="C93"/>
  <c r="C92"/>
  <c r="C91"/>
  <c r="D27"/>
  <c r="D38"/>
  <c r="D39"/>
  <c r="D14"/>
  <c r="D15"/>
  <c r="D8"/>
  <c r="F15" i="10"/>
  <c r="E14" i="9"/>
  <c r="E15"/>
  <c r="E8"/>
  <c r="G15" i="10"/>
  <c r="F14" i="9"/>
  <c r="F15"/>
  <c r="F8"/>
  <c r="C9"/>
  <c r="C21"/>
  <c r="C29"/>
  <c r="D15" i="10"/>
  <c r="C14" i="9"/>
  <c r="C15"/>
  <c r="E9"/>
  <c r="F9"/>
  <c r="F33"/>
  <c r="F41"/>
  <c r="F44"/>
  <c r="F59"/>
  <c r="F21"/>
  <c r="D9"/>
  <c r="D17"/>
  <c r="C17"/>
  <c r="C44"/>
  <c r="C59"/>
  <c r="C62"/>
  <c r="C78"/>
  <c r="C48"/>
  <c r="C58"/>
  <c r="C33"/>
  <c r="C41"/>
  <c r="C56"/>
  <c r="F48"/>
  <c r="F58"/>
  <c r="F56"/>
  <c r="F57"/>
  <c r="E108"/>
  <c r="F62"/>
  <c r="F78"/>
  <c r="E115"/>
  <c r="F29"/>
  <c r="E106"/>
  <c r="D44"/>
  <c r="D59"/>
  <c r="D48"/>
  <c r="D58"/>
  <c r="D21"/>
  <c r="E48"/>
  <c r="E58"/>
  <c r="E21"/>
  <c r="D33"/>
  <c r="D41"/>
  <c r="E33"/>
  <c r="E41"/>
  <c r="E56"/>
  <c r="E44"/>
  <c r="E59"/>
  <c r="F17"/>
  <c r="E17"/>
  <c r="C57"/>
  <c r="C82"/>
  <c r="C90"/>
  <c r="C79"/>
  <c r="F90"/>
  <c r="E57"/>
  <c r="D108"/>
  <c r="E82"/>
  <c r="D107"/>
  <c r="D62"/>
  <c r="D29"/>
  <c r="C106"/>
  <c r="F79"/>
  <c r="E116"/>
  <c r="C83"/>
  <c r="C121"/>
  <c r="C122"/>
  <c r="D56"/>
  <c r="D57"/>
  <c r="C108"/>
  <c r="E62"/>
  <c r="E29"/>
  <c r="D106"/>
  <c r="E107"/>
  <c r="F83"/>
  <c r="E118"/>
  <c r="F121"/>
  <c r="F122"/>
  <c r="D117"/>
  <c r="E83"/>
  <c r="D118"/>
  <c r="E78"/>
  <c r="E79"/>
  <c r="D83"/>
  <c r="C107"/>
  <c r="D78"/>
  <c r="H56" i="8"/>
  <c r="D116" i="9"/>
  <c r="E121"/>
  <c r="C115"/>
  <c r="D90"/>
  <c r="C118"/>
  <c r="D79"/>
  <c r="C116"/>
  <c r="E90"/>
  <c r="D115"/>
  <c r="B120"/>
  <c r="B119"/>
  <c r="B118"/>
  <c r="B117"/>
  <c r="B116"/>
  <c r="B115"/>
  <c r="B110"/>
  <c r="B109"/>
  <c r="B108"/>
  <c r="B107"/>
  <c r="B106"/>
  <c r="B104"/>
  <c r="B102"/>
  <c r="B101"/>
  <c r="B99"/>
  <c r="B98"/>
  <c r="B97"/>
  <c r="B96"/>
  <c r="B94"/>
  <c r="B93"/>
  <c r="B92"/>
  <c r="B91"/>
  <c r="C151" i="8"/>
  <c r="C150"/>
  <c r="C149"/>
  <c r="C148"/>
  <c r="C147"/>
  <c r="C146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D56"/>
  <c r="D105"/>
  <c r="D106"/>
  <c r="D121" i="9"/>
  <c r="D122"/>
  <c r="E122"/>
  <c r="D69" i="8"/>
  <c r="D86"/>
  <c r="L75"/>
  <c r="L69"/>
  <c r="L70"/>
  <c r="D79"/>
  <c r="L68"/>
  <c r="C78"/>
  <c r="L72"/>
  <c r="D80"/>
  <c r="I74"/>
  <c r="G75"/>
  <c r="I69"/>
  <c r="D78"/>
  <c r="L73"/>
  <c r="C87"/>
  <c r="D71"/>
  <c r="C84"/>
  <c r="D83"/>
  <c r="I67"/>
  <c r="G72"/>
  <c r="D77"/>
  <c r="D84"/>
  <c r="C68"/>
  <c r="I72"/>
  <c r="G77"/>
  <c r="L76"/>
  <c r="D146"/>
  <c r="D147"/>
  <c r="D108"/>
  <c r="D114"/>
  <c r="D127"/>
  <c r="D128"/>
  <c r="D122"/>
  <c r="D124"/>
  <c r="D123"/>
  <c r="D133"/>
  <c r="D110"/>
  <c r="D115"/>
  <c r="D120"/>
  <c r="D112"/>
  <c r="D111"/>
  <c r="D117"/>
  <c r="D125"/>
  <c r="D102"/>
  <c r="D132"/>
  <c r="D150"/>
  <c r="D119"/>
  <c r="D104"/>
  <c r="D121"/>
  <c r="D130"/>
  <c r="D113"/>
  <c r="D149"/>
  <c r="D107"/>
  <c r="D109"/>
  <c r="D148"/>
  <c r="N70"/>
  <c r="G79"/>
  <c r="P83"/>
  <c r="N69"/>
  <c r="N76"/>
  <c r="G80"/>
  <c r="F69"/>
  <c r="K72"/>
  <c r="F71"/>
  <c r="F81"/>
  <c r="D116"/>
  <c r="D126"/>
  <c r="D118"/>
  <c r="D131"/>
  <c r="D129"/>
  <c r="P68"/>
  <c r="P82"/>
  <c r="P84"/>
</calcChain>
</file>

<file path=xl/sharedStrings.xml><?xml version="1.0" encoding="utf-8"?>
<sst xmlns="http://schemas.openxmlformats.org/spreadsheetml/2006/main" count="295" uniqueCount="183">
  <si>
    <t>Bathroom/Kitchen</t>
  </si>
  <si>
    <t>Septic Tank</t>
  </si>
  <si>
    <t>OD</t>
  </si>
  <si>
    <t>No Treatment</t>
  </si>
  <si>
    <t>Water Bodies</t>
  </si>
  <si>
    <t>Conveyed through Drains</t>
  </si>
  <si>
    <t>Sewerage System</t>
  </si>
  <si>
    <t>Septic tank</t>
  </si>
  <si>
    <t>Individual toilets</t>
  </si>
  <si>
    <t>Septic tanks</t>
  </si>
  <si>
    <t>Double pit</t>
  </si>
  <si>
    <t>Single Pit</t>
  </si>
  <si>
    <t>Community toilets</t>
  </si>
  <si>
    <t>Open Defecation</t>
  </si>
  <si>
    <t>Underground sewerage system</t>
  </si>
  <si>
    <t>Safely emptied</t>
  </si>
  <si>
    <t>Unsafely emptied</t>
  </si>
  <si>
    <t>Conveyed through Settled Sewers/Drains</t>
  </si>
  <si>
    <t>Effectively treated</t>
  </si>
  <si>
    <t>User Interface</t>
  </si>
  <si>
    <t>Containment</t>
  </si>
  <si>
    <t>Conveyance</t>
  </si>
  <si>
    <t>Emptying</t>
  </si>
  <si>
    <t>Treatment</t>
  </si>
  <si>
    <t>Disposal</t>
  </si>
  <si>
    <t>Safely Abandoned when full</t>
  </si>
  <si>
    <t>Individual Toilet</t>
  </si>
  <si>
    <t>Community Toilet</t>
  </si>
  <si>
    <t>Effluent</t>
  </si>
  <si>
    <t>Solid Waste Dump Site</t>
  </si>
  <si>
    <t>Environment / Dump Site</t>
  </si>
  <si>
    <t>∑</t>
  </si>
  <si>
    <t>UnsafeExit</t>
  </si>
  <si>
    <t>SafeExit</t>
  </si>
  <si>
    <t>Soak Pit</t>
  </si>
  <si>
    <t>Settled Sewers/Drains</t>
  </si>
  <si>
    <t>Environment</t>
  </si>
  <si>
    <t>Description</t>
  </si>
  <si>
    <t>Units</t>
  </si>
  <si>
    <t>Population (Present Year)</t>
  </si>
  <si>
    <t>nos</t>
  </si>
  <si>
    <t>Number of Households (Present Year)</t>
  </si>
  <si>
    <t>Number</t>
  </si>
  <si>
    <t>% WW Flow</t>
  </si>
  <si>
    <t>% of HHs</t>
  </si>
  <si>
    <t>%</t>
  </si>
  <si>
    <t>Households dependent on functional community toilets</t>
  </si>
  <si>
    <t>% HHs</t>
  </si>
  <si>
    <t>Check</t>
  </si>
  <si>
    <t>Number of HHs with toilets connected to sewer network in the city</t>
  </si>
  <si>
    <t>Total functional community toilets seats in city</t>
  </si>
  <si>
    <t>HHs dependent on one toilets seats</t>
  </si>
  <si>
    <t>Community toilets seats with sewerage system</t>
  </si>
  <si>
    <t xml:space="preserve"> HHs dependent on community toilets with sewerage system</t>
  </si>
  <si>
    <t>% HHS</t>
  </si>
  <si>
    <t>Total</t>
  </si>
  <si>
    <t>Onsite System</t>
  </si>
  <si>
    <t>Septic Tanks</t>
  </si>
  <si>
    <t>HHs Toilets with septic tanks</t>
  </si>
  <si>
    <t>HHs dependent on Community toilets with septic tanks</t>
  </si>
  <si>
    <t>HHs with Toilets with Single Pits</t>
  </si>
  <si>
    <t>Double Pit</t>
  </si>
  <si>
    <t>Toilets with Double Pits</t>
  </si>
  <si>
    <t xml:space="preserve">Emptying </t>
  </si>
  <si>
    <t>Estimated Number of Septic tanks cleaned Annually</t>
  </si>
  <si>
    <t>Safely Emptying</t>
  </si>
  <si>
    <t>Unsafely Emptied</t>
  </si>
  <si>
    <t>Safely Abonded When Full</t>
  </si>
  <si>
    <t xml:space="preserve">Unsafe </t>
  </si>
  <si>
    <t>Safely Conveyed</t>
  </si>
  <si>
    <t>Onsite System: Septic Tanks</t>
  </si>
  <si>
    <t>Households with septic tank connected to drains / settled sewer</t>
  </si>
  <si>
    <t>Conveyed through Drains/Settled Sewer</t>
  </si>
  <si>
    <t>Houeholds with toilets with septic tank connected to soak pits</t>
  </si>
  <si>
    <t>Safely treated through soak pits</t>
  </si>
  <si>
    <t>Greywater through Drains (Remaining Greywater)</t>
  </si>
  <si>
    <t>Sewerage system</t>
  </si>
  <si>
    <t>Adequacy of sewerage treatment plant</t>
  </si>
  <si>
    <t>Effectively Treated</t>
  </si>
  <si>
    <t>Not treated</t>
  </si>
  <si>
    <t>Onsite: Septic Tank</t>
  </si>
  <si>
    <t>Adequacy of septage treatment plant</t>
  </si>
  <si>
    <t>% WW FLow</t>
  </si>
  <si>
    <t>Treated</t>
  </si>
  <si>
    <t>Settled Sewer/Drains</t>
  </si>
  <si>
    <t>Adequacy of grey water / effluent treatment plant</t>
  </si>
  <si>
    <t>Single pit</t>
  </si>
  <si>
    <t>IndToilet_DoublePit</t>
  </si>
  <si>
    <t>IndToilet_SinglePit</t>
  </si>
  <si>
    <t>CommToilet</t>
  </si>
  <si>
    <t>IndToilet</t>
  </si>
  <si>
    <t>SinglePit</t>
  </si>
  <si>
    <t>DoublePit</t>
  </si>
  <si>
    <t>Onsite</t>
  </si>
  <si>
    <t>ConveyedDrains</t>
  </si>
  <si>
    <t>UndergroundSewerage</t>
  </si>
  <si>
    <t>BathroomKitchen</t>
  </si>
  <si>
    <t>SewerageTotal</t>
  </si>
  <si>
    <t>SepticTotal</t>
  </si>
  <si>
    <t>Bathroom /Kitchen</t>
  </si>
  <si>
    <t>Individual Toilets</t>
  </si>
  <si>
    <t>Community Toilets</t>
  </si>
  <si>
    <t>Conveyed through drains</t>
  </si>
  <si>
    <t>Underground Sewerage System</t>
  </si>
  <si>
    <t>Bathroom_DrainsSegConnector</t>
  </si>
  <si>
    <t>Select City:</t>
  </si>
  <si>
    <t>IndToilet_DoublePitSegConnector</t>
  </si>
  <si>
    <t>Bathroom_SepticSegConnector</t>
  </si>
  <si>
    <t>IndToilet_SinglePitSegConnector</t>
  </si>
  <si>
    <t>CommToilet_SewerageSegConnector</t>
  </si>
  <si>
    <t>OnsiteTotal</t>
  </si>
  <si>
    <t>DoublePit_SafelyAbandonedConnectorBox</t>
  </si>
  <si>
    <t>Select city from drop down menu and then click on Generate Shitflow Diagram Button</t>
  </si>
  <si>
    <t>%HHS safely emptied</t>
  </si>
  <si>
    <t>Select State:</t>
  </si>
  <si>
    <t>Chhattisgarh</t>
  </si>
  <si>
    <t>Maharashtra</t>
  </si>
  <si>
    <t>Telangana</t>
  </si>
  <si>
    <t>Gujarat</t>
  </si>
  <si>
    <t>Selected City</t>
  </si>
  <si>
    <t>City Position</t>
  </si>
  <si>
    <t>Selected State</t>
  </si>
  <si>
    <t>State List</t>
  </si>
  <si>
    <t>Green (Safely managed)</t>
  </si>
  <si>
    <t>Red (Unsafely managed)</t>
  </si>
  <si>
    <t>Enter state name</t>
  </si>
  <si>
    <t>Enter city name</t>
  </si>
  <si>
    <t>Shit Flow Diagram Calculation sheet</t>
  </si>
  <si>
    <t>Total septic tanks in ULB</t>
  </si>
  <si>
    <t>Shit Flow Diagram</t>
  </si>
  <si>
    <t>Input sheet</t>
  </si>
  <si>
    <t>Total Households with Individual Toilets</t>
  </si>
  <si>
    <t>Number of HHs with toilets connected to septic tanks</t>
  </si>
  <si>
    <t xml:space="preserve">Number of HHs with toilets connected to sewer network </t>
  </si>
  <si>
    <t>Number of HHs with toilets connected to Single Pit</t>
  </si>
  <si>
    <t>Number of HHs with toilets connected to Double/Twin Pit</t>
  </si>
  <si>
    <t>Septic Tank emptying frequency</t>
  </si>
  <si>
    <t>Years</t>
  </si>
  <si>
    <t>Sr. No.</t>
  </si>
  <si>
    <t>HHs doing Open Defecation</t>
  </si>
  <si>
    <t xml:space="preserve">Estimated Number of Septic tanks cleaned </t>
  </si>
  <si>
    <t>Total septic tanks in city</t>
  </si>
  <si>
    <t>Adequacy of sewerage treatment plant*</t>
  </si>
  <si>
    <t>Adequacy of Sewerage treatment plant (Available capacity of treatment plant that can treat sewage to secondary treatment standards (removal of BOD and COD) as a percentage of normative sewage generated by households connected to sewer network).</t>
  </si>
  <si>
    <t>Note: Definition</t>
  </si>
  <si>
    <t>*</t>
  </si>
  <si>
    <t>Adequacy of septage treatment plant**</t>
  </si>
  <si>
    <t>**</t>
  </si>
  <si>
    <t>Adequacy of septage treatment plant (Available capacity of treatment plant that can treat septage to desirable standards as a percentage of normative septage generated.)</t>
  </si>
  <si>
    <t>Auto Calculated cells</t>
  </si>
  <si>
    <t>Panchgani</t>
  </si>
  <si>
    <t>Total septic tanks emptied</t>
  </si>
  <si>
    <t>Value cannot be greater than value in Sr. no.7 (total septic tanks in city)</t>
  </si>
  <si>
    <t>Bathroom_Drains</t>
  </si>
  <si>
    <t>Bathroom_Drains_Untreated_WaterbodiesExit</t>
  </si>
  <si>
    <t>Bathroom_Drains_Treated_Exit</t>
  </si>
  <si>
    <t>Bathroom_Septic</t>
  </si>
  <si>
    <t>Bathroom_Sewerage</t>
  </si>
  <si>
    <t>IndToilet_Sewerage</t>
  </si>
  <si>
    <t>IndToilet_Septic</t>
  </si>
  <si>
    <t>CommToilet_Sewerage</t>
  </si>
  <si>
    <t>CommToilet_Septic</t>
  </si>
  <si>
    <t>Sewerage_SafelyConveyed</t>
  </si>
  <si>
    <t>Sewerage_Treated_Exit</t>
  </si>
  <si>
    <t>Sewerage_NoTreatment</t>
  </si>
  <si>
    <t>Sewerage_Untreated_WaterbodiesExit</t>
  </si>
  <si>
    <t>SepticTank_Effluent</t>
  </si>
  <si>
    <t>SepticTank_SoakPit_Exit</t>
  </si>
  <si>
    <t>SepticTank_SettledSewer</t>
  </si>
  <si>
    <t>SettledSewerDrains_Treated_Exit</t>
  </si>
  <si>
    <t>SettledSewerDrains_UnTreated_Exit</t>
  </si>
  <si>
    <t>SepticTank_SafeEmpty</t>
  </si>
  <si>
    <t>SepticTank_UnSafeEmpty</t>
  </si>
  <si>
    <t>SepticTank_UnSafeEmpty_Exit</t>
  </si>
  <si>
    <t>SepticTank_SafeEmpty_Treated_Exit</t>
  </si>
  <si>
    <t>SepticTank_SafeEmpty_UnTreated_Exit</t>
  </si>
  <si>
    <t>DoublePit_SafelyAbandoned</t>
  </si>
  <si>
    <t>OD_Environment</t>
  </si>
  <si>
    <t>SinglePit_Exit</t>
  </si>
  <si>
    <t>SepticTank_SoakPit</t>
  </si>
  <si>
    <t>Sewerage_Treated</t>
  </si>
  <si>
    <t>Nepal</t>
  </si>
  <si>
    <t>Banepa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</si>
</sst>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theme="1" tint="0.499984740745262"/>
      <name val="Calibri"/>
      <family val="2"/>
      <scheme val="minor"/>
    </font>
    <font>
      <i/>
      <sz val="10"/>
      <color theme="0" tint="-0.34998626667073579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Arial"/>
      <family val="2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4" xfId="0" applyBorder="1" applyAlignment="1"/>
    <xf numFmtId="0" fontId="0" fillId="0" borderId="6" xfId="0" applyBorder="1"/>
    <xf numFmtId="0" fontId="0" fillId="0" borderId="7" xfId="0" applyBorder="1" applyAlignment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5" xfId="0" applyFill="1" applyBorder="1" applyAlignment="1"/>
    <xf numFmtId="0" fontId="7" fillId="0" borderId="5" xfId="0" applyFont="1" applyBorder="1"/>
    <xf numFmtId="0" fontId="0" fillId="0" borderId="4" xfId="0" applyFill="1" applyBorder="1" applyAlignment="1">
      <alignment wrapText="1"/>
    </xf>
    <xf numFmtId="0" fontId="9" fillId="0" borderId="0" xfId="2"/>
    <xf numFmtId="0" fontId="10" fillId="0" borderId="0" xfId="2" applyFont="1"/>
    <xf numFmtId="0" fontId="1" fillId="0" borderId="1" xfId="1" applyFont="1" applyFill="1" applyBorder="1"/>
    <xf numFmtId="0" fontId="10" fillId="0" borderId="1" xfId="2" applyFont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1" fillId="7" borderId="1" xfId="2" applyFont="1" applyFill="1" applyBorder="1" applyAlignment="1"/>
    <xf numFmtId="0" fontId="9" fillId="0" borderId="1" xfId="2" applyBorder="1"/>
    <xf numFmtId="0" fontId="9" fillId="8" borderId="1" xfId="2" applyFont="1" applyFill="1" applyBorder="1" applyAlignment="1"/>
    <xf numFmtId="0" fontId="9" fillId="0" borderId="1" xfId="2" applyBorder="1" applyAlignment="1">
      <alignment horizontal="center"/>
    </xf>
    <xf numFmtId="0" fontId="9" fillId="0" borderId="1" xfId="2" applyFont="1" applyFill="1" applyBorder="1" applyAlignment="1"/>
    <xf numFmtId="0" fontId="8" fillId="0" borderId="1" xfId="1" applyFont="1" applyFill="1" applyBorder="1" applyAlignment="1">
      <alignment horizontal="center" vertical="center"/>
    </xf>
    <xf numFmtId="0" fontId="12" fillId="0" borderId="1" xfId="1" applyFont="1" applyFill="1" applyBorder="1"/>
    <xf numFmtId="0" fontId="9" fillId="0" borderId="1" xfId="2" applyBorder="1" applyAlignment="1">
      <alignment horizontal="center" vertical="center"/>
    </xf>
    <xf numFmtId="0" fontId="9" fillId="8" borderId="1" xfId="2" applyFont="1" applyFill="1" applyBorder="1" applyAlignment="1">
      <alignment horizontal="left" wrapText="1"/>
    </xf>
    <xf numFmtId="0" fontId="9" fillId="0" borderId="1" xfId="2" applyFill="1" applyBorder="1"/>
    <xf numFmtId="0" fontId="9" fillId="0" borderId="1" xfId="2" applyBorder="1" applyAlignment="1">
      <alignment horizontal="left"/>
    </xf>
    <xf numFmtId="0" fontId="11" fillId="7" borderId="1" xfId="2" applyFont="1" applyFill="1" applyBorder="1" applyAlignment="1">
      <alignment horizontal="center"/>
    </xf>
    <xf numFmtId="0" fontId="10" fillId="9" borderId="1" xfId="2" applyFont="1" applyFill="1" applyBorder="1" applyAlignment="1">
      <alignment horizontal="left"/>
    </xf>
    <xf numFmtId="0" fontId="9" fillId="0" borderId="1" xfId="2" applyBorder="1" applyAlignment="1">
      <alignment horizontal="left" wrapText="1"/>
    </xf>
    <xf numFmtId="0" fontId="10" fillId="0" borderId="1" xfId="2" applyFont="1" applyFill="1" applyBorder="1" applyAlignment="1">
      <alignment horizontal="left"/>
    </xf>
    <xf numFmtId="0" fontId="10" fillId="0" borderId="1" xfId="2" applyFont="1" applyBorder="1" applyAlignment="1">
      <alignment horizontal="left" wrapText="1"/>
    </xf>
    <xf numFmtId="0" fontId="9" fillId="0" borderId="1" xfId="2" applyBorder="1" applyAlignment="1">
      <alignment wrapText="1"/>
    </xf>
    <xf numFmtId="0" fontId="9" fillId="0" borderId="0" xfId="2" applyBorder="1"/>
    <xf numFmtId="0" fontId="9" fillId="0" borderId="0" xfId="2" applyFill="1"/>
    <xf numFmtId="0" fontId="10" fillId="0" borderId="1" xfId="2" applyFont="1" applyBorder="1"/>
    <xf numFmtId="0" fontId="9" fillId="0" borderId="1" xfId="2" applyFill="1" applyBorder="1" applyAlignment="1">
      <alignment wrapText="1"/>
    </xf>
    <xf numFmtId="0" fontId="9" fillId="11" borderId="1" xfId="2" applyFill="1" applyBorder="1"/>
    <xf numFmtId="165" fontId="3" fillId="0" borderId="3" xfId="0" applyNumberFormat="1" applyFont="1" applyBorder="1"/>
    <xf numFmtId="165" fontId="1" fillId="2" borderId="4" xfId="0" applyNumberFormat="1" applyFont="1" applyFill="1" applyBorder="1" applyAlignment="1">
      <alignment horizontal="center"/>
    </xf>
    <xf numFmtId="165" fontId="3" fillId="0" borderId="4" xfId="0" applyNumberFormat="1" applyFont="1" applyBorder="1"/>
    <xf numFmtId="165" fontId="0" fillId="0" borderId="0" xfId="0" applyNumberFormat="1" applyBorder="1" applyAlignment="1">
      <alignment horizontal="center" wrapText="1"/>
    </xf>
    <xf numFmtId="165" fontId="0" fillId="0" borderId="0" xfId="4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3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1" fillId="0" borderId="4" xfId="0" applyNumberFormat="1" applyFont="1" applyBorder="1"/>
    <xf numFmtId="165" fontId="5" fillId="0" borderId="4" xfId="0" applyNumberFormat="1" applyFont="1" applyBorder="1"/>
    <xf numFmtId="165" fontId="0" fillId="2" borderId="0" xfId="0" applyNumberFormat="1" applyFill="1"/>
    <xf numFmtId="0" fontId="13" fillId="0" borderId="0" xfId="0" applyFont="1"/>
    <xf numFmtId="0" fontId="0" fillId="0" borderId="5" xfId="0" applyBorder="1" applyAlignment="1">
      <alignment wrapText="1"/>
    </xf>
    <xf numFmtId="165" fontId="4" fillId="0" borderId="5" xfId="0" applyNumberFormat="1" applyFont="1" applyBorder="1" applyAlignment="1">
      <alignment wrapText="1"/>
    </xf>
    <xf numFmtId="165" fontId="6" fillId="0" borderId="4" xfId="0" applyNumberFormat="1" applyFont="1" applyBorder="1"/>
    <xf numFmtId="165" fontId="3" fillId="0" borderId="2" xfId="0" applyNumberFormat="1" applyFont="1" applyBorder="1"/>
    <xf numFmtId="165" fontId="6" fillId="0" borderId="5" xfId="0" applyNumberFormat="1" applyFont="1" applyBorder="1"/>
    <xf numFmtId="165" fontId="4" fillId="0" borderId="2" xfId="0" applyNumberFormat="1" applyFont="1" applyBorder="1"/>
    <xf numFmtId="165" fontId="6" fillId="3" borderId="4" xfId="0" applyNumberFormat="1" applyFont="1" applyFill="1" applyBorder="1"/>
    <xf numFmtId="165" fontId="5" fillId="0" borderId="4" xfId="0" applyNumberFormat="1" applyFont="1" applyBorder="1" applyAlignment="1">
      <alignment wrapText="1"/>
    </xf>
    <xf numFmtId="165" fontId="0" fillId="0" borderId="5" xfId="0" applyNumberFormat="1" applyBorder="1"/>
    <xf numFmtId="0" fontId="6" fillId="11" borderId="4" xfId="0" applyFont="1" applyFill="1" applyBorder="1" applyAlignment="1">
      <alignment wrapText="1"/>
    </xf>
    <xf numFmtId="0" fontId="0" fillId="11" borderId="4" xfId="0" applyFill="1" applyBorder="1" applyAlignment="1"/>
    <xf numFmtId="0" fontId="3" fillId="11" borderId="3" xfId="0" applyFont="1" applyFill="1" applyBorder="1"/>
    <xf numFmtId="0" fontId="0" fillId="11" borderId="0" xfId="0" applyFill="1" applyBorder="1" applyAlignment="1"/>
    <xf numFmtId="0" fontId="0" fillId="11" borderId="0" xfId="0" applyFill="1"/>
    <xf numFmtId="0" fontId="4" fillId="11" borderId="4" xfId="0" applyFont="1" applyFill="1" applyBorder="1"/>
    <xf numFmtId="0" fontId="0" fillId="11" borderId="4" xfId="0" applyFill="1" applyBorder="1"/>
    <xf numFmtId="0" fontId="0" fillId="12" borderId="0" xfId="0" applyFill="1"/>
    <xf numFmtId="165" fontId="1" fillId="2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ill="1"/>
    <xf numFmtId="0" fontId="1" fillId="0" borderId="0" xfId="0" applyFont="1" applyFill="1"/>
    <xf numFmtId="0" fontId="9" fillId="3" borderId="1" xfId="2" applyFill="1" applyBorder="1" applyAlignment="1">
      <alignment horizontal="left"/>
    </xf>
    <xf numFmtId="0" fontId="0" fillId="12" borderId="11" xfId="0" applyFill="1" applyBorder="1" applyAlignment="1">
      <alignment horizontal="center" vertical="center"/>
    </xf>
    <xf numFmtId="0" fontId="8" fillId="5" borderId="1" xfId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3" applyFont="1" applyBorder="1" applyAlignment="1">
      <alignment horizontal="center"/>
    </xf>
    <xf numFmtId="164" fontId="0" fillId="6" borderId="1" xfId="3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3" applyNumberFormat="1" applyFont="1" applyBorder="1" applyAlignment="1">
      <alignment horizontal="center"/>
    </xf>
    <xf numFmtId="164" fontId="0" fillId="0" borderId="1" xfId="3" applyNumberFormat="1" applyFont="1" applyFill="1" applyBorder="1" applyAlignment="1">
      <alignment horizontal="center"/>
    </xf>
    <xf numFmtId="164" fontId="0" fillId="10" borderId="1" xfId="3" applyNumberFormat="1" applyFont="1" applyFill="1" applyBorder="1" applyAlignment="1">
      <alignment horizontal="center"/>
    </xf>
    <xf numFmtId="1" fontId="0" fillId="0" borderId="1" xfId="3" applyNumberFormat="1" applyFont="1" applyBorder="1" applyAlignment="1">
      <alignment horizontal="center"/>
    </xf>
    <xf numFmtId="164" fontId="0" fillId="3" borderId="1" xfId="3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3" applyFont="1" applyFill="1" applyBorder="1" applyAlignment="1">
      <alignment horizontal="center"/>
    </xf>
    <xf numFmtId="164" fontId="0" fillId="0" borderId="1" xfId="0" applyNumberFormat="1" applyBorder="1"/>
    <xf numFmtId="2" fontId="0" fillId="3" borderId="1" xfId="0" applyNumberFormat="1" applyFill="1" applyBorder="1"/>
    <xf numFmtId="164" fontId="0" fillId="3" borderId="1" xfId="3" applyNumberFormat="1" applyFont="1" applyFill="1" applyBorder="1"/>
    <xf numFmtId="164" fontId="0" fillId="0" borderId="1" xfId="3" applyNumberFormat="1" applyFont="1" applyBorder="1"/>
    <xf numFmtId="0" fontId="0" fillId="3" borderId="1" xfId="0" applyFill="1" applyBorder="1"/>
    <xf numFmtId="0" fontId="0" fillId="11" borderId="1" xfId="0" applyFill="1" applyBorder="1"/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9" fillId="0" borderId="0" xfId="2" applyAlignment="1">
      <alignment horizontal="center"/>
    </xf>
    <xf numFmtId="0" fontId="9" fillId="0" borderId="1" xfId="2" applyFill="1" applyBorder="1" applyAlignment="1">
      <alignment horizontal="center" vertical="center"/>
    </xf>
    <xf numFmtId="0" fontId="9" fillId="0" borderId="1" xfId="2" applyFill="1" applyBorder="1" applyAlignment="1">
      <alignment horizontal="left"/>
    </xf>
    <xf numFmtId="0" fontId="9" fillId="0" borderId="1" xfId="2" applyFill="1" applyBorder="1" applyAlignment="1">
      <alignment horizontal="center"/>
    </xf>
    <xf numFmtId="0" fontId="9" fillId="0" borderId="1" xfId="2" applyFill="1" applyBorder="1" applyAlignment="1">
      <alignment horizontal="left" wrapText="1"/>
    </xf>
    <xf numFmtId="0" fontId="14" fillId="0" borderId="0" xfId="2" applyFont="1"/>
    <xf numFmtId="0" fontId="1" fillId="13" borderId="9" xfId="0" applyFont="1" applyFill="1" applyBorder="1" applyAlignment="1">
      <alignment horizontal="right" vertical="center"/>
    </xf>
    <xf numFmtId="0" fontId="0" fillId="13" borderId="10" xfId="0" applyFill="1" applyBorder="1" applyAlignment="1">
      <alignment vertical="center"/>
    </xf>
    <xf numFmtId="0" fontId="1" fillId="2" borderId="13" xfId="0" applyFont="1" applyFill="1" applyBorder="1"/>
    <xf numFmtId="0" fontId="0" fillId="0" borderId="14" xfId="0" applyBorder="1"/>
    <xf numFmtId="0" fontId="0" fillId="0" borderId="15" xfId="0" applyBorder="1"/>
    <xf numFmtId="0" fontId="15" fillId="0" borderId="0" xfId="0" applyFont="1" applyAlignment="1">
      <alignment vertical="center"/>
    </xf>
    <xf numFmtId="0" fontId="0" fillId="0" borderId="1" xfId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5" borderId="1" xfId="0" applyFill="1" applyBorder="1"/>
    <xf numFmtId="164" fontId="0" fillId="6" borderId="1" xfId="0" applyNumberFormat="1" applyFill="1" applyBorder="1"/>
    <xf numFmtId="1" fontId="0" fillId="5" borderId="1" xfId="3" applyNumberFormat="1" applyFont="1" applyFill="1" applyBorder="1" applyAlignment="1">
      <alignment horizontal="center"/>
    </xf>
    <xf numFmtId="164" fontId="0" fillId="6" borderId="1" xfId="3" applyNumberFormat="1" applyFont="1" applyFill="1" applyBorder="1"/>
    <xf numFmtId="1" fontId="0" fillId="5" borderId="1" xfId="0" applyNumberFormat="1" applyFill="1" applyBorder="1" applyAlignment="1">
      <alignment horizontal="center"/>
    </xf>
    <xf numFmtId="10" fontId="0" fillId="6" borderId="1" xfId="3" applyNumberFormat="1" applyFont="1" applyFill="1" applyBorder="1"/>
    <xf numFmtId="1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16" fillId="0" borderId="1" xfId="2" applyFont="1" applyBorder="1" applyAlignment="1">
      <alignment vertical="center"/>
    </xf>
    <xf numFmtId="0" fontId="17" fillId="0" borderId="0" xfId="2" applyFont="1" applyAlignment="1">
      <alignment wrapText="1"/>
    </xf>
    <xf numFmtId="0" fontId="17" fillId="0" borderId="0" xfId="2" applyFont="1"/>
    <xf numFmtId="164" fontId="17" fillId="0" borderId="1" xfId="2" applyNumberFormat="1" applyFont="1" applyBorder="1"/>
    <xf numFmtId="0" fontId="17" fillId="0" borderId="1" xfId="2" applyFont="1" applyBorder="1"/>
    <xf numFmtId="0" fontId="17" fillId="11" borderId="1" xfId="2" applyFont="1" applyFill="1" applyBorder="1"/>
    <xf numFmtId="164" fontId="17" fillId="0" borderId="1" xfId="2" applyNumberFormat="1" applyFont="1" applyBorder="1" applyAlignment="1">
      <alignment horizontal="right" vertical="center"/>
    </xf>
    <xf numFmtId="165" fontId="17" fillId="0" borderId="1" xfId="2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left"/>
    </xf>
    <xf numFmtId="0" fontId="9" fillId="0" borderId="1" xfId="2" applyFont="1" applyBorder="1" applyAlignment="1">
      <alignment horizontal="left"/>
    </xf>
    <xf numFmtId="0" fontId="9" fillId="0" borderId="1" xfId="2" applyFont="1" applyFill="1" applyBorder="1" applyAlignment="1">
      <alignment horizontal="left" wrapText="1"/>
    </xf>
    <xf numFmtId="0" fontId="17" fillId="0" borderId="1" xfId="2" applyFont="1" applyBorder="1" applyAlignment="1">
      <alignment horizontal="right" wrapText="1"/>
    </xf>
    <xf numFmtId="0" fontId="17" fillId="0" borderId="1" xfId="2" applyFont="1" applyFill="1" applyBorder="1" applyAlignment="1">
      <alignment horizontal="right"/>
    </xf>
    <xf numFmtId="0" fontId="17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left"/>
    </xf>
    <xf numFmtId="0" fontId="8" fillId="0" borderId="1" xfId="1" applyFont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16" fillId="2" borderId="1" xfId="2" applyFont="1" applyFill="1" applyBorder="1" applyAlignment="1">
      <alignment vertical="center"/>
    </xf>
    <xf numFmtId="0" fontId="0" fillId="15" borderId="0" xfId="0" applyFill="1"/>
    <xf numFmtId="0" fontId="19" fillId="0" borderId="0" xfId="0" applyFont="1"/>
    <xf numFmtId="0" fontId="9" fillId="0" borderId="0" xfId="2" applyFont="1" applyFill="1" applyBorder="1" applyAlignment="1">
      <alignment horizontal="left"/>
    </xf>
    <xf numFmtId="0" fontId="0" fillId="0" borderId="0" xfId="0" applyAlignment="1">
      <alignment horizontal="right"/>
    </xf>
    <xf numFmtId="0" fontId="20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" fontId="7" fillId="15" borderId="1" xfId="0" applyNumberFormat="1" applyFon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16" fillId="2" borderId="1" xfId="2" applyFont="1" applyFill="1" applyBorder="1" applyAlignment="1" applyProtection="1">
      <alignment vertical="center"/>
      <protection locked="0"/>
    </xf>
    <xf numFmtId="0" fontId="18" fillId="4" borderId="1" xfId="1" applyFont="1" applyFill="1" applyBorder="1" applyAlignment="1">
      <alignment horizontal="center" vertical="center"/>
    </xf>
    <xf numFmtId="0" fontId="18" fillId="16" borderId="0" xfId="0" applyFont="1" applyFill="1" applyAlignment="1">
      <alignment horizontal="center" vertical="center"/>
    </xf>
    <xf numFmtId="0" fontId="1" fillId="14" borderId="0" xfId="0" applyFont="1" applyFill="1" applyBorder="1" applyAlignment="1">
      <alignment horizontal="center"/>
    </xf>
    <xf numFmtId="0" fontId="1" fillId="4" borderId="0" xfId="1" applyFont="1" applyFill="1" applyAlignment="1">
      <alignment horizontal="center"/>
    </xf>
    <xf numFmtId="0" fontId="1" fillId="4" borderId="1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Percent" xfId="4" builtinId="5"/>
    <cellStyle name="Percent 2" xfId="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118462</xdr:colOff>
      <xdr:row>13</xdr:row>
      <xdr:rowOff>173832</xdr:rowOff>
    </xdr:from>
    <xdr:to>
      <xdr:col>35</xdr:col>
      <xdr:colOff>185548</xdr:colOff>
      <xdr:row>13</xdr:row>
      <xdr:rowOff>173832</xdr:rowOff>
    </xdr:to>
    <xdr:sp macro="" textlink="">
      <xdr:nvSpPr>
        <xdr:cNvPr id="2" name="Bathroom_Drains_Untreated_WaterbodiesExit" hidden="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9082737" y="2917032"/>
          <a:ext cx="3115086" cy="0"/>
        </a:xfrm>
        <a:prstGeom prst="homePlate">
          <a:avLst/>
        </a:prstGeom>
        <a:solidFill>
          <a:srgbClr val="FF0000"/>
        </a:solidFill>
        <a:ln w="12700" cap="rnd" cmpd="sng" algn="ctr">
          <a:noFill/>
          <a:prstDash val="solid"/>
        </a:ln>
        <a:effectLst>
          <a:softEdge rad="12700"/>
        </a:effectLst>
      </xdr:spPr>
      <xdr:txBody>
        <a:bodyPr rot="0" spcFirstLastPara="0" vert="horz" wrap="square" lIns="91429" tIns="45715" rIns="91429" bIns="45715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4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9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3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8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2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87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1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16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+mn-lt"/>
            </a:rPr>
            <a:t>%</a:t>
          </a:r>
        </a:p>
      </xdr:txBody>
    </xdr:sp>
    <xdr:clientData/>
  </xdr:twoCellAnchor>
  <xdr:twoCellAnchor>
    <xdr:from>
      <xdr:col>9</xdr:col>
      <xdr:colOff>597547</xdr:colOff>
      <xdr:row>13</xdr:row>
      <xdr:rowOff>172762</xdr:rowOff>
    </xdr:from>
    <xdr:to>
      <xdr:col>15</xdr:col>
      <xdr:colOff>361950</xdr:colOff>
      <xdr:row>13</xdr:row>
      <xdr:rowOff>172762</xdr:rowOff>
    </xdr:to>
    <xdr:sp macro="" textlink="">
      <xdr:nvSpPr>
        <xdr:cNvPr id="5" name="Bathroom_Drains_Treated_Exit" hidden="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6636397" y="2915962"/>
          <a:ext cx="3422003" cy="0"/>
        </a:xfrm>
        <a:prstGeom prst="homePlate">
          <a:avLst/>
        </a:prstGeom>
        <a:solidFill>
          <a:srgbClr val="00B050"/>
        </a:solidFill>
        <a:ln w="12700" cap="rnd" cmpd="sng" algn="ctr">
          <a:noFill/>
          <a:prstDash val="solid"/>
        </a:ln>
        <a:effectLst>
          <a:softEdge rad="12700"/>
        </a:effectLst>
      </xdr:spPr>
      <xdr:txBody>
        <a:bodyPr rot="0" spcFirstLastPara="0" vert="horz" wrap="square" lIns="91429" tIns="45715" rIns="91429" bIns="45715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4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9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3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8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2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87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1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16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+mn-lt"/>
            </a:rPr>
            <a:t>%</a:t>
          </a:r>
        </a:p>
      </xdr:txBody>
    </xdr:sp>
    <xdr:clientData/>
  </xdr:twoCellAnchor>
  <xdr:twoCellAnchor>
    <xdr:from>
      <xdr:col>10</xdr:col>
      <xdr:colOff>15772</xdr:colOff>
      <xdr:row>19</xdr:row>
      <xdr:rowOff>114042</xdr:rowOff>
    </xdr:from>
    <xdr:to>
      <xdr:col>15</xdr:col>
      <xdr:colOff>384416</xdr:colOff>
      <xdr:row>19</xdr:row>
      <xdr:rowOff>114042</xdr:rowOff>
    </xdr:to>
    <xdr:sp macro="" textlink="">
      <xdr:nvSpPr>
        <xdr:cNvPr id="43" name="SepticTank_SoakPit_Exit" hidden="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6664222" y="4000242"/>
          <a:ext cx="3416644" cy="0"/>
        </a:xfrm>
        <a:prstGeom prst="homePlate">
          <a:avLst/>
        </a:prstGeom>
        <a:solidFill>
          <a:srgbClr val="00B050"/>
        </a:solidFill>
        <a:ln w="12700" cap="flat" cmpd="sng" algn="ctr">
          <a:noFill/>
          <a:prstDash val="solid"/>
        </a:ln>
        <a:effectLst>
          <a:softEdge rad="0"/>
        </a:effectLst>
      </xdr:spPr>
      <xdr:txBody>
        <a:bodyPr rot="0" spcFirstLastPara="0" vert="horz" wrap="square" lIns="91429" tIns="45715" rIns="91429" bIns="45715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4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9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3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8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2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87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1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16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+mn-lt"/>
            </a:rPr>
            <a:t>0%</a:t>
          </a:r>
        </a:p>
      </xdr:txBody>
    </xdr:sp>
    <xdr:clientData/>
  </xdr:twoCellAnchor>
  <xdr:twoCellAnchor>
    <xdr:from>
      <xdr:col>10</xdr:col>
      <xdr:colOff>16335</xdr:colOff>
      <xdr:row>10</xdr:row>
      <xdr:rowOff>151291</xdr:rowOff>
    </xdr:from>
    <xdr:to>
      <xdr:col>15</xdr:col>
      <xdr:colOff>384417</xdr:colOff>
      <xdr:row>11</xdr:row>
      <xdr:rowOff>156413</xdr:rowOff>
    </xdr:to>
    <xdr:sp macro="" textlink="">
      <xdr:nvSpPr>
        <xdr:cNvPr id="46" name="Sewerage_Treated_Exit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6664785" y="2322991"/>
          <a:ext cx="3416082" cy="195622"/>
        </a:xfrm>
        <a:prstGeom prst="homePlate">
          <a:avLst/>
        </a:prstGeom>
        <a:solidFill>
          <a:srgbClr val="00B050"/>
        </a:solidFill>
        <a:ln w="12700" cap="rnd" cmpd="sng" algn="ctr">
          <a:noFill/>
          <a:prstDash val="solid"/>
        </a:ln>
        <a:effectLst>
          <a:softEdge rad="0"/>
        </a:effectLst>
      </xdr:spPr>
      <xdr:txBody>
        <a:bodyPr rot="0" spcFirstLastPara="0" vert="horz" wrap="square" lIns="91429" tIns="45715" rIns="91429" bIns="45715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4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9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3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8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2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87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1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16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+mn-lt"/>
            </a:rPr>
            <a:t>34.7%</a:t>
          </a:r>
        </a:p>
      </xdr:txBody>
    </xdr:sp>
    <xdr:clientData/>
  </xdr:twoCellAnchor>
  <xdr:twoCellAnchor>
    <xdr:from>
      <xdr:col>7</xdr:col>
      <xdr:colOff>480850</xdr:colOff>
      <xdr:row>16</xdr:row>
      <xdr:rowOff>177471</xdr:rowOff>
    </xdr:from>
    <xdr:to>
      <xdr:col>8</xdr:col>
      <xdr:colOff>394576</xdr:colOff>
      <xdr:row>16</xdr:row>
      <xdr:rowOff>177471</xdr:rowOff>
    </xdr:to>
    <xdr:sp macro="" textlink="">
      <xdr:nvSpPr>
        <xdr:cNvPr id="47" name="SepticTank_SettledSewer" hidden="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5176675" y="3492171"/>
          <a:ext cx="523326" cy="0"/>
        </a:xfrm>
        <a:prstGeom prst="homePlate">
          <a:avLst/>
        </a:prstGeom>
        <a:solidFill>
          <a:srgbClr val="00B050"/>
        </a:solidFill>
        <a:ln w="12700" cap="flat" cmpd="sng" algn="ctr">
          <a:noFill/>
          <a:prstDash val="solid"/>
        </a:ln>
        <a:effectLst>
          <a:softEdge rad="0"/>
        </a:effectLst>
      </xdr:spPr>
      <xdr:txBody>
        <a:bodyPr rot="0" spcFirstLastPara="0" vert="horz" wrap="square" lIns="36000" tIns="45715" rIns="36000" bIns="45715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4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9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3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8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2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87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1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16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0%</a:t>
          </a:r>
          <a:endParaRPr lang="en-US" sz="1100">
            <a:solidFill>
              <a:srgbClr val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15772</xdr:colOff>
      <xdr:row>15</xdr:row>
      <xdr:rowOff>104221</xdr:rowOff>
    </xdr:from>
    <xdr:to>
      <xdr:col>15</xdr:col>
      <xdr:colOff>384416</xdr:colOff>
      <xdr:row>15</xdr:row>
      <xdr:rowOff>104221</xdr:rowOff>
    </xdr:to>
    <xdr:sp macro="" textlink="">
      <xdr:nvSpPr>
        <xdr:cNvPr id="49" name="SettledSewerDrains_Treated_Exit" hidden="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6664222" y="3228421"/>
          <a:ext cx="3416644" cy="0"/>
        </a:xfrm>
        <a:prstGeom prst="homePlate">
          <a:avLst/>
        </a:prstGeom>
        <a:solidFill>
          <a:srgbClr val="00B050"/>
        </a:solidFill>
        <a:ln w="12700" cap="flat" cmpd="sng" algn="ctr">
          <a:noFill/>
          <a:prstDash val="solid"/>
        </a:ln>
        <a:effectLst>
          <a:softEdge rad="0"/>
        </a:effectLst>
      </xdr:spPr>
      <xdr:txBody>
        <a:bodyPr rot="0" spcFirstLastPara="0" vert="horz" wrap="square" lIns="91429" tIns="45715" rIns="91429" bIns="45715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4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9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3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8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2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87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1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16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+mn-lt"/>
            </a:rPr>
            <a:t>0%</a:t>
          </a:r>
        </a:p>
      </xdr:txBody>
    </xdr:sp>
    <xdr:clientData/>
  </xdr:twoCellAnchor>
  <xdr:twoCellAnchor>
    <xdr:from>
      <xdr:col>10</xdr:col>
      <xdr:colOff>15772</xdr:colOff>
      <xdr:row>17</xdr:row>
      <xdr:rowOff>58813</xdr:rowOff>
    </xdr:from>
    <xdr:to>
      <xdr:col>15</xdr:col>
      <xdr:colOff>68859</xdr:colOff>
      <xdr:row>17</xdr:row>
      <xdr:rowOff>58813</xdr:rowOff>
    </xdr:to>
    <xdr:sp macro="" textlink="">
      <xdr:nvSpPr>
        <xdr:cNvPr id="52" name="SettledSewerDrains_UnTreated_Exit" hidden="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6664222" y="3564013"/>
          <a:ext cx="3101087" cy="0"/>
        </a:xfrm>
        <a:prstGeom prst="homePlate">
          <a:avLst/>
        </a:prstGeom>
        <a:solidFill>
          <a:srgbClr val="FF0000"/>
        </a:solidFill>
        <a:ln w="12700" cap="flat" cmpd="sng" algn="ctr">
          <a:noFill/>
          <a:prstDash val="solid"/>
        </a:ln>
        <a:effectLst>
          <a:softEdge rad="0"/>
        </a:effectLst>
      </xdr:spPr>
      <xdr:txBody>
        <a:bodyPr rot="0" spcFirstLastPara="0" vert="horz" wrap="square" lIns="91429" tIns="45715" rIns="91429" bIns="45715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4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9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3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8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2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87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1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16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+mn-lt"/>
            </a:rPr>
            <a:t>0%</a:t>
          </a:r>
        </a:p>
      </xdr:txBody>
    </xdr:sp>
    <xdr:clientData/>
  </xdr:twoCellAnchor>
  <xdr:twoCellAnchor>
    <xdr:from>
      <xdr:col>12</xdr:col>
      <xdr:colOff>188427</xdr:colOff>
      <xdr:row>21</xdr:row>
      <xdr:rowOff>56414</xdr:rowOff>
    </xdr:from>
    <xdr:to>
      <xdr:col>15</xdr:col>
      <xdr:colOff>393976</xdr:colOff>
      <xdr:row>22</xdr:row>
      <xdr:rowOff>40040</xdr:rowOff>
    </xdr:to>
    <xdr:sp macro="" textlink="">
      <xdr:nvSpPr>
        <xdr:cNvPr id="53" name="SepticTank_SafeEmpty_Treated_Exit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/>
      </xdr:nvSpPr>
      <xdr:spPr bwMode="auto">
        <a:xfrm>
          <a:off x="8056077" y="4323614"/>
          <a:ext cx="2034349" cy="174126"/>
        </a:xfrm>
        <a:prstGeom prst="homePlate">
          <a:avLst/>
        </a:prstGeom>
        <a:solidFill>
          <a:srgbClr val="00B050"/>
        </a:solidFill>
        <a:ln w="12700" cap="rnd" cmpd="sng" algn="ctr">
          <a:noFill/>
          <a:prstDash val="solid"/>
        </a:ln>
        <a:effectLst>
          <a:softEdge rad="12700"/>
        </a:effectLst>
      </xdr:spPr>
      <xdr:txBody>
        <a:bodyPr rot="0" spcFirstLastPara="0" vert="horz" wrap="square" lIns="91429" tIns="45715" rIns="91429" bIns="45715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4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9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3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8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2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87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1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16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+mn-lt"/>
            </a:rPr>
            <a:t>23.5%</a:t>
          </a:r>
        </a:p>
      </xdr:txBody>
    </xdr:sp>
    <xdr:clientData/>
  </xdr:twoCellAnchor>
  <xdr:twoCellAnchor>
    <xdr:from>
      <xdr:col>7</xdr:col>
      <xdr:colOff>471287</xdr:colOff>
      <xdr:row>19</xdr:row>
      <xdr:rowOff>82221</xdr:rowOff>
    </xdr:from>
    <xdr:to>
      <xdr:col>8</xdr:col>
      <xdr:colOff>394576</xdr:colOff>
      <xdr:row>19</xdr:row>
      <xdr:rowOff>82221</xdr:rowOff>
    </xdr:to>
    <xdr:sp macro="" textlink="">
      <xdr:nvSpPr>
        <xdr:cNvPr id="59" name="SepticTank_SoakPit" hidden="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>
          <a:off x="5167112" y="3968421"/>
          <a:ext cx="532889" cy="0"/>
        </a:xfrm>
        <a:prstGeom prst="homePlate">
          <a:avLst/>
        </a:prstGeom>
        <a:solidFill>
          <a:srgbClr val="00B050"/>
        </a:solidFill>
        <a:ln w="12700" cap="flat" cmpd="sng" algn="ctr">
          <a:noFill/>
          <a:prstDash val="solid"/>
        </a:ln>
        <a:effectLst>
          <a:softEdge rad="0"/>
        </a:effectLst>
      </xdr:spPr>
      <xdr:txBody>
        <a:bodyPr rot="0" spcFirstLastPara="0" vert="horz" wrap="square" lIns="0" tIns="45715" rIns="0" bIns="45715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4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9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3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8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2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87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1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16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0%</a:t>
          </a:r>
          <a:endParaRPr lang="en-US" sz="1100">
            <a:solidFill>
              <a:srgbClr val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258744</xdr:colOff>
      <xdr:row>13</xdr:row>
      <xdr:rowOff>135409</xdr:rowOff>
    </xdr:from>
    <xdr:to>
      <xdr:col>4</xdr:col>
      <xdr:colOff>258744</xdr:colOff>
      <xdr:row>25</xdr:row>
      <xdr:rowOff>98312</xdr:rowOff>
    </xdr:to>
    <xdr:cxnSp macro="">
      <xdr:nvCxnSpPr>
        <xdr:cNvPr id="10" name="IndToilet_DoublePitSegConnector" hidden="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>
          <a:stCxn id="78" idx="3"/>
          <a:endCxn id="79" idx="1"/>
        </xdr:cNvCxnSpPr>
      </xdr:nvCxnSpPr>
      <xdr:spPr>
        <a:xfrm>
          <a:off x="2373294" y="2878609"/>
          <a:ext cx="0" cy="2248903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323308</xdr:colOff>
      <xdr:row>25</xdr:row>
      <xdr:rowOff>190255</xdr:rowOff>
    </xdr:from>
    <xdr:to>
      <xdr:col>15</xdr:col>
      <xdr:colOff>384413</xdr:colOff>
      <xdr:row>25</xdr:row>
      <xdr:rowOff>190255</xdr:rowOff>
    </xdr:to>
    <xdr:sp macro="" textlink="">
      <xdr:nvSpPr>
        <xdr:cNvPr id="56" name="DoublePit_SafelyAbandoned" hidden="1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3799933" y="5219455"/>
          <a:ext cx="6280930" cy="0"/>
        </a:xfrm>
        <a:prstGeom prst="homePlate">
          <a:avLst/>
        </a:prstGeom>
        <a:solidFill>
          <a:srgbClr val="00B050"/>
        </a:solidFill>
        <a:ln w="12700" cap="flat" cmpd="sng" algn="ctr">
          <a:noFill/>
          <a:prstDash val="solid"/>
        </a:ln>
        <a:effectLst>
          <a:softEdge rad="0"/>
        </a:effectLst>
      </xdr:spPr>
      <xdr:txBody>
        <a:bodyPr rot="0" spcFirstLastPara="0" vert="horz" wrap="square" lIns="91429" tIns="45715" rIns="91429" bIns="45715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4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90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35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8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2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87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16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161" algn="l" defTabSz="91429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0%</a:t>
          </a:r>
        </a:p>
      </xdr:txBody>
    </xdr:sp>
    <xdr:clientData/>
  </xdr:twoCellAnchor>
  <xdr:twoCellAnchor>
    <xdr:from>
      <xdr:col>6</xdr:col>
      <xdr:colOff>336782</xdr:colOff>
      <xdr:row>25</xdr:row>
      <xdr:rowOff>190082</xdr:rowOff>
    </xdr:from>
    <xdr:to>
      <xdr:col>9</xdr:col>
      <xdr:colOff>260183</xdr:colOff>
      <xdr:row>26</xdr:row>
      <xdr:rowOff>119061</xdr:rowOff>
    </xdr:to>
    <xdr:sp macro="" textlink="">
      <xdr:nvSpPr>
        <xdr:cNvPr id="63" name="DoublePit_SafelyAbandonedConnectorBox" hidden="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408720" y="5214520"/>
          <a:ext cx="1876026" cy="11947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29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145" algn="l" defTabSz="91429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290" algn="l" defTabSz="91429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435" algn="l" defTabSz="91429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581" algn="l" defTabSz="91429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5726" algn="l" defTabSz="91429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2871" algn="l" defTabSz="91429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016" algn="l" defTabSz="91429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161" algn="l" defTabSz="91429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>
              <a:latin typeface="Arial"/>
              <a:ea typeface="Calibri"/>
            </a:rPr>
            <a:t>Safely Abandoned</a:t>
          </a:r>
          <a:r>
            <a:rPr lang="en-US" sz="1000" b="1" baseline="0">
              <a:latin typeface="Arial"/>
              <a:ea typeface="Calibri"/>
            </a:rPr>
            <a:t> when full</a:t>
          </a:r>
          <a:endParaRPr lang="en-US" sz="1000">
            <a:latin typeface="Arial"/>
            <a:ea typeface="Calibri"/>
          </a:endParaRPr>
        </a:p>
      </xdr:txBody>
    </xdr:sp>
    <xdr:clientData/>
  </xdr:twoCellAnchor>
  <xdr:twoCellAnchor>
    <xdr:from>
      <xdr:col>3</xdr:col>
      <xdr:colOff>162402</xdr:colOff>
      <xdr:row>22</xdr:row>
      <xdr:rowOff>29448</xdr:rowOff>
    </xdr:from>
    <xdr:to>
      <xdr:col>4</xdr:col>
      <xdr:colOff>901075</xdr:colOff>
      <xdr:row>22</xdr:row>
      <xdr:rowOff>29448</xdr:rowOff>
    </xdr:to>
    <xdr:sp macro="" textlink="">
      <xdr:nvSpPr>
        <xdr:cNvPr id="75" name="CommToilet_Septic" hidden="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1981677" y="4487148"/>
          <a:ext cx="1033948" cy="0"/>
        </a:xfrm>
        <a:prstGeom prst="homePlate">
          <a:avLst/>
        </a:prstGeom>
        <a:solidFill>
          <a:srgbClr val="00B050"/>
        </a:solidFill>
        <a:ln>
          <a:noFill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18000" rIns="0" rtlCol="0" anchor="ctr" anchorCtr="0"/>
        <a:lstStyle/>
        <a:p>
          <a:pPr algn="l"/>
          <a:r>
            <a:rPr lang="en-IN" sz="1000">
              <a:solidFill>
                <a:sysClr val="windowText" lastClr="000000"/>
              </a:solidFill>
            </a:rPr>
            <a:t>0%</a:t>
          </a:r>
        </a:p>
      </xdr:txBody>
    </xdr:sp>
    <xdr:clientData/>
  </xdr:twoCellAnchor>
  <xdr:twoCellAnchor>
    <xdr:from>
      <xdr:col>3</xdr:col>
      <xdr:colOff>162402</xdr:colOff>
      <xdr:row>13</xdr:row>
      <xdr:rowOff>135408</xdr:rowOff>
    </xdr:from>
    <xdr:to>
      <xdr:col>4</xdr:col>
      <xdr:colOff>258744</xdr:colOff>
      <xdr:row>13</xdr:row>
      <xdr:rowOff>135408</xdr:rowOff>
    </xdr:to>
    <xdr:sp macro="" textlink="">
      <xdr:nvSpPr>
        <xdr:cNvPr id="78" name="IndToilet_DoublePitSeg1" hidden="1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1981677" y="2878608"/>
          <a:ext cx="391617" cy="0"/>
        </a:xfrm>
        <a:prstGeom prst="rect">
          <a:avLst/>
        </a:prstGeom>
        <a:solidFill>
          <a:srgbClr val="00B050"/>
        </a:solidFill>
        <a:ln>
          <a:noFill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18000" rIns="0" rtlCol="0" anchor="ctr" anchorCtr="0"/>
        <a:lstStyle/>
        <a:p>
          <a:pPr algn="l"/>
          <a:r>
            <a:rPr lang="en-IN" sz="1000">
              <a:solidFill>
                <a:sysClr val="windowText" lastClr="000000"/>
              </a:solidFill>
            </a:rPr>
            <a:t>0%</a:t>
          </a:r>
        </a:p>
      </xdr:txBody>
    </xdr:sp>
    <xdr:clientData/>
  </xdr:twoCellAnchor>
  <xdr:twoCellAnchor>
    <xdr:from>
      <xdr:col>4</xdr:col>
      <xdr:colOff>258744</xdr:colOff>
      <xdr:row>25</xdr:row>
      <xdr:rowOff>98311</xdr:rowOff>
    </xdr:from>
    <xdr:to>
      <xdr:col>4</xdr:col>
      <xdr:colOff>901073</xdr:colOff>
      <xdr:row>25</xdr:row>
      <xdr:rowOff>98311</xdr:rowOff>
    </xdr:to>
    <xdr:sp macro="" textlink="">
      <xdr:nvSpPr>
        <xdr:cNvPr id="79" name="IndToilet_DoublePitSeg2" hidden="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>
          <a:off x="2373294" y="5127511"/>
          <a:ext cx="642329" cy="0"/>
        </a:xfrm>
        <a:prstGeom prst="homePlate">
          <a:avLst/>
        </a:prstGeom>
        <a:solidFill>
          <a:srgbClr val="00B050"/>
        </a:solidFill>
        <a:ln>
          <a:noFill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18000" rIns="0" rtlCol="0" anchor="ctr" anchorCtr="0"/>
        <a:lstStyle/>
        <a:p>
          <a:pPr algn="l"/>
          <a:r>
            <a:rPr lang="en-IN" sz="1000">
              <a:solidFill>
                <a:sysClr val="windowText" lastClr="000000"/>
              </a:solidFill>
            </a:rPr>
            <a:t>0%</a:t>
          </a:r>
        </a:p>
      </xdr:txBody>
    </xdr:sp>
    <xdr:clientData/>
  </xdr:twoCellAnchor>
  <xdr:twoCellAnchor>
    <xdr:from>
      <xdr:col>1</xdr:col>
      <xdr:colOff>125341</xdr:colOff>
      <xdr:row>2</xdr:row>
      <xdr:rowOff>181529</xdr:rowOff>
    </xdr:from>
    <xdr:to>
      <xdr:col>18</xdr:col>
      <xdr:colOff>92612</xdr:colOff>
      <xdr:row>32</xdr:row>
      <xdr:rowOff>10079</xdr:rowOff>
    </xdr:to>
    <xdr:grpSp>
      <xdr:nvGrpSpPr>
        <xdr:cNvPr id="6" name="Group 5"/>
        <xdr:cNvGrpSpPr/>
      </xdr:nvGrpSpPr>
      <xdr:grpSpPr>
        <a:xfrm>
          <a:off x="728591" y="832404"/>
          <a:ext cx="10809896" cy="5543550"/>
          <a:chOff x="775418" y="910183"/>
          <a:chExt cx="11449667" cy="5543550"/>
        </a:xfrm>
      </xdr:grpSpPr>
      <xdr:sp macro="" textlink="">
        <xdr:nvSpPr>
          <xdr:cNvPr id="7" name="Rectangle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75418" y="910183"/>
            <a:ext cx="11449667" cy="55435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cxnSp macro="">
        <xdr:nvCxnSpPr>
          <xdr:cNvPr id="9" name="CommToilet_SewerageSegConnector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CxnSpPr>
            <a:stCxn id="76" idx="3"/>
            <a:endCxn id="77" idx="1"/>
          </xdr:cNvCxnSpPr>
        </xdr:nvCxnSpPr>
        <xdr:spPr>
          <a:xfrm flipH="1" flipV="1">
            <a:off x="2642954" y="2922324"/>
            <a:ext cx="3" cy="129767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Sewerage_SafelyConveyed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3788028" y="2553994"/>
            <a:ext cx="1901526" cy="205889"/>
          </a:xfrm>
          <a:prstGeom prst="homePlate">
            <a:avLst/>
          </a:prstGeom>
          <a:solidFill>
            <a:srgbClr val="00B050"/>
          </a:solidFill>
          <a:ln w="12700" cap="flat" cmpd="sng" algn="ctr">
            <a:noFill/>
            <a:prstDash val="solid"/>
          </a:ln>
          <a:effectLst>
            <a:softEdge rad="0"/>
          </a:effectLst>
        </xdr:spPr>
        <xdr:txBody>
          <a:bodyPr rot="0" spcFirstLastPara="0" vert="horz" wrap="square" lIns="91429" tIns="45715" rIns="91429" bIns="45715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00">
                <a:solidFill>
                  <a:srgbClr val="000000"/>
                </a:solidFill>
                <a:latin typeface="+mn-lt"/>
                <a:cs typeface="Arial" panose="020B0604020202020204" pitchFamily="34" charset="0"/>
              </a:rPr>
              <a:t>41.8%</a:t>
            </a:r>
            <a:endParaRPr lang="en-US" sz="1100">
              <a:solidFill>
                <a:srgbClr val="000000"/>
              </a:solidFill>
              <a:latin typeface="+mn-lt"/>
              <a:cs typeface="Arial" panose="020B0604020202020204" pitchFamily="34" charset="0"/>
            </a:endParaRPr>
          </a:p>
        </xdr:txBody>
      </xdr:sp>
      <xdr:sp macro="" textlink="">
        <xdr:nvSpPr>
          <xdr:cNvPr id="29" name="SepticTank_SafeEmpty">
            <a:extLst>
              <a:ext uri="{FF2B5EF4-FFF2-40B4-BE49-F238E27FC236}">
                <a16:creationId xmlns=""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3788028" y="4434449"/>
            <a:ext cx="3489183" cy="184377"/>
          </a:xfrm>
          <a:prstGeom prst="homePlate">
            <a:avLst/>
          </a:prstGeom>
          <a:solidFill>
            <a:srgbClr val="00B050"/>
          </a:solidFill>
          <a:ln w="12700" cap="flat" cmpd="sng" algn="ctr">
            <a:noFill/>
            <a:prstDash val="solid"/>
          </a:ln>
          <a:effectLst>
            <a:softEdge rad="0"/>
          </a:effectLst>
        </xdr:spPr>
        <xdr:txBody>
          <a:bodyPr rot="0" spcFirstLastPara="0" vert="horz" wrap="square" lIns="91429" tIns="45715" rIns="91429" bIns="45715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00">
                <a:solidFill>
                  <a:srgbClr val="000000"/>
                </a:solidFill>
                <a:latin typeface="+mn-lt"/>
                <a:cs typeface="Arial" panose="020B0604020202020204" pitchFamily="34" charset="0"/>
              </a:rPr>
              <a:t>28.3%</a:t>
            </a:r>
          </a:p>
        </xdr:txBody>
      </xdr:sp>
      <xdr:sp macro="" textlink="">
        <xdr:nvSpPr>
          <xdr:cNvPr id="41" name="Sewerage_Untreated_WaterbodiesExit">
            <a:extLst>
              <a:ext uri="{FF2B5EF4-FFF2-40B4-BE49-F238E27FC236}">
                <a16:creationId xmlns="" xmlns:a16="http://schemas.microsoft.com/office/drawing/2014/main" id="{00000000-0008-0000-0000-000029000000}"/>
              </a:ext>
            </a:extLst>
          </xdr:cNvPr>
          <xdr:cNvSpPr/>
        </xdr:nvSpPr>
        <xdr:spPr bwMode="auto">
          <a:xfrm>
            <a:off x="6648115" y="2735783"/>
            <a:ext cx="3088621" cy="108110"/>
          </a:xfrm>
          <a:prstGeom prst="homePlate">
            <a:avLst/>
          </a:prstGeom>
          <a:solidFill>
            <a:srgbClr val="FF0000"/>
          </a:solidFill>
          <a:ln w="12700" cap="rnd" cmpd="sng" algn="ctr">
            <a:noFill/>
            <a:prstDash val="solid"/>
          </a:ln>
          <a:effectLst>
            <a:softEdge rad="0"/>
          </a:effectLst>
        </xdr:spPr>
        <xdr:txBody>
          <a:bodyPr rot="0" spcFirstLastPara="0" vert="horz" wrap="square" lIns="91429" tIns="45715" rIns="91429" bIns="45715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00">
                <a:ln w="1270" cmpd="sng">
                  <a:noFill/>
                </a:ln>
                <a:solidFill>
                  <a:schemeClr val="tx1"/>
                </a:solidFill>
                <a:latin typeface="+mn-lt"/>
              </a:rPr>
              <a:t>7.1%</a:t>
            </a:r>
          </a:p>
        </xdr:txBody>
      </xdr:sp>
      <xdr:sp macro="" textlink="">
        <xdr:nvSpPr>
          <xdr:cNvPr id="57" name="OD_Environment" hidden="1">
            <a:extLst>
              <a:ext uri="{FF2B5EF4-FFF2-40B4-BE49-F238E27FC236}">
                <a16:creationId xmlns=""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1972155" y="5919545"/>
            <a:ext cx="7764579" cy="0"/>
          </a:xfrm>
          <a:prstGeom prst="homePlate">
            <a:avLst/>
          </a:prstGeom>
          <a:solidFill>
            <a:srgbClr val="FF0000"/>
          </a:solidFill>
          <a:ln w="12700" cap="flat" cmpd="sng" algn="ctr">
            <a:noFill/>
            <a:prstDash val="solid"/>
          </a:ln>
          <a:effectLst>
            <a:softEdge rad="0"/>
          </a:effectLst>
        </xdr:spPr>
        <xdr:txBody>
          <a:bodyPr rot="0" spcFirstLastPara="0" vert="horz" wrap="square" lIns="91429" tIns="45715" rIns="91429" bIns="45715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00">
                <a:solidFill>
                  <a:srgbClr val="000000"/>
                </a:solidFill>
                <a:latin typeface="+mn-lt"/>
                <a:cs typeface="Arial" panose="020B0604020202020204" pitchFamily="34" charset="0"/>
              </a:rPr>
              <a:t>0%</a:t>
            </a:r>
          </a:p>
        </xdr:txBody>
      </xdr:sp>
      <xdr:sp macro="" textlink="">
        <xdr:nvSpPr>
          <xdr:cNvPr id="73" name="IndToilet_Sewerage">
            <a:extLst>
              <a:ext uri="{FF2B5EF4-FFF2-40B4-BE49-F238E27FC236}">
                <a16:creationId xmlns="" xmlns:a16="http://schemas.microsoft.com/office/drawing/2014/main" id="{00000000-0008-0000-0000-000049000000}"/>
              </a:ext>
            </a:extLst>
          </xdr:cNvPr>
          <xdr:cNvSpPr/>
        </xdr:nvSpPr>
        <xdr:spPr>
          <a:xfrm>
            <a:off x="1972153" y="2553999"/>
            <a:ext cx="1037243" cy="197650"/>
          </a:xfrm>
          <a:prstGeom prst="homePlate">
            <a:avLst/>
          </a:prstGeom>
          <a:solidFill>
            <a:srgbClr val="00B050"/>
          </a:solidFill>
          <a:ln>
            <a:noFill/>
          </a:ln>
          <a:effectLst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18000" rIns="0" rtlCol="0" anchor="ctr" anchorCtr="0"/>
          <a:lstStyle/>
          <a:p>
            <a:pPr algn="l"/>
            <a:r>
              <a:rPr lang="en-IN" sz="1000">
                <a:solidFill>
                  <a:sysClr val="windowText" lastClr="000000"/>
                </a:solidFill>
              </a:rPr>
              <a:t>36%</a:t>
            </a:r>
          </a:p>
        </xdr:txBody>
      </xdr:sp>
      <xdr:sp macro="" textlink="">
        <xdr:nvSpPr>
          <xdr:cNvPr id="76" name="CommToilet_SewerageSeg1">
            <a:extLst>
              <a:ext uri="{FF2B5EF4-FFF2-40B4-BE49-F238E27FC236}">
                <a16:creationId xmlns=""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1972153" y="4171518"/>
            <a:ext cx="670804" cy="96955"/>
          </a:xfrm>
          <a:prstGeom prst="rect">
            <a:avLst/>
          </a:prstGeom>
          <a:solidFill>
            <a:srgbClr val="00B050"/>
          </a:solidFill>
          <a:ln>
            <a:noFill/>
          </a:ln>
          <a:effectLst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18000" rIns="0" rtlCol="0" anchor="ctr" anchorCtr="0"/>
          <a:lstStyle/>
          <a:p>
            <a:pPr algn="l"/>
            <a:r>
              <a:rPr lang="en-IN" sz="1000">
                <a:solidFill>
                  <a:sysClr val="windowText" lastClr="000000"/>
                </a:solidFill>
                <a:effectLst>
                  <a:glow>
                    <a:schemeClr val="accent1">
                      <a:alpha val="40000"/>
                    </a:schemeClr>
                  </a:glow>
                </a:effectLst>
              </a:rPr>
              <a:t>5.8%</a:t>
            </a:r>
          </a:p>
        </xdr:txBody>
      </xdr:sp>
      <xdr:sp macro="" textlink="">
        <xdr:nvSpPr>
          <xdr:cNvPr id="77" name="CommToilet_SewerageSeg2">
            <a:extLst>
              <a:ext uri="{FF2B5EF4-FFF2-40B4-BE49-F238E27FC236}">
                <a16:creationId xmlns="" xmlns:a16="http://schemas.microsoft.com/office/drawing/2014/main" id="{00000000-0008-0000-0000-00004D000000}"/>
              </a:ext>
            </a:extLst>
          </xdr:cNvPr>
          <xdr:cNvSpPr/>
        </xdr:nvSpPr>
        <xdr:spPr>
          <a:xfrm>
            <a:off x="2642954" y="2873846"/>
            <a:ext cx="371612" cy="96955"/>
          </a:xfrm>
          <a:prstGeom prst="homePlate">
            <a:avLst/>
          </a:prstGeom>
          <a:solidFill>
            <a:srgbClr val="00B050"/>
          </a:solidFill>
          <a:ln>
            <a:noFill/>
          </a:ln>
          <a:effectLst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18000" rIns="0" rtlCol="0" anchor="ctr"/>
          <a:lstStyle/>
          <a:p>
            <a:pPr algn="ctr"/>
            <a:r>
              <a:rPr lang="en-IN" sz="1000">
                <a:solidFill>
                  <a:sysClr val="windowText" lastClr="000000"/>
                </a:solidFill>
              </a:rPr>
              <a:t>5.8%</a:t>
            </a:r>
          </a:p>
        </xdr:txBody>
      </xdr:sp>
      <xdr:cxnSp macro="">
        <xdr:nvCxnSpPr>
          <xdr:cNvPr id="11" name="IndToilet_SinglePitSegConnector" hidden="1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CxnSpPr>
            <a:stCxn id="81" idx="3"/>
            <a:endCxn id="80" idx="1"/>
          </xdr:cNvCxnSpPr>
        </xdr:nvCxnSpPr>
        <xdr:spPr>
          <a:xfrm>
            <a:off x="2293858" y="3115776"/>
            <a:ext cx="11" cy="2389498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SewerageTotal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3014570" y="2067471"/>
            <a:ext cx="754489" cy="1095375"/>
          </a:xfrm>
          <a:prstGeom prst="rect">
            <a:avLst/>
          </a:prstGeom>
          <a:solidFill>
            <a:schemeClr val="tx1">
              <a:lumMod val="20000"/>
              <a:lumOff val="80000"/>
            </a:schemeClr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>
                <a:latin typeface="Arial"/>
                <a:ea typeface="Calibri"/>
              </a:rPr>
              <a:t>Sewerage System
(41.8%)</a:t>
            </a:r>
            <a:endParaRPr lang="en-US" sz="1000">
              <a:latin typeface="Arial"/>
              <a:ea typeface="Calibri"/>
            </a:endParaRPr>
          </a:p>
        </xdr:txBody>
      </xdr:sp>
      <xdr:sp macro="" textlink="">
        <xdr:nvSpPr>
          <xdr:cNvPr id="14" name="UnsafeExit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0800387" y="5394216"/>
            <a:ext cx="1040049" cy="347619"/>
          </a:xfrm>
          <a:prstGeom prst="rect">
            <a:avLst/>
          </a:prstGeom>
          <a:solidFill>
            <a:srgbClr val="FF0000">
              <a:alpha val="78000"/>
            </a:srgbClr>
          </a:solidFill>
          <a:ln w="6350">
            <a:noFill/>
          </a:ln>
          <a:effectLst/>
        </xdr:spPr>
        <xdr:txBody>
          <a:bodyPr rot="0" spcFirstLastPara="0" vert="horz" wrap="square" lIns="91429" tIns="45715" rIns="91429" bIns="45715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700" b="1">
                <a:solidFill>
                  <a:schemeClr val="bg1">
                    <a:lumMod val="95000"/>
                  </a:schemeClr>
                </a:solidFill>
                <a:latin typeface="Arial"/>
                <a:ea typeface="Calibri"/>
              </a:rPr>
              <a:t>42%</a:t>
            </a:r>
            <a:endParaRPr lang="en-US" sz="1700">
              <a:solidFill>
                <a:schemeClr val="bg1">
                  <a:lumMod val="95000"/>
                </a:schemeClr>
              </a:solidFill>
              <a:latin typeface="Arial"/>
              <a:ea typeface="Calibri"/>
            </a:endParaRPr>
          </a:p>
        </xdr:txBody>
      </xdr:sp>
      <xdr:sp macro="" textlink="">
        <xdr:nvSpPr>
          <xdr:cNvPr id="15" name="Right Arrow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 bwMode="auto">
          <a:xfrm>
            <a:off x="5186386" y="1348437"/>
            <a:ext cx="314657" cy="185515"/>
          </a:xfrm>
          <a:prstGeom prst="rightArrow">
            <a:avLst/>
          </a:prstGeom>
          <a:solidFill>
            <a:srgbClr val="000000">
              <a:alpha val="60000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rtlCol="0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buFont typeface="Wingdings" pitchFamily="2" charset="2"/>
              <a:buNone/>
            </a:pPr>
            <a:endParaRPr lang="en-US" sz="1300">
              <a:solidFill>
                <a:schemeClr val="tx1"/>
              </a:solidFill>
            </a:endParaRPr>
          </a:p>
        </xdr:txBody>
      </xdr:sp>
      <xdr:sp macro="" textlink="">
        <xdr:nvSpPr>
          <xdr:cNvPr id="16" name="Rounded Rectangle 15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SpPr/>
        </xdr:nvSpPr>
        <xdr:spPr bwMode="auto">
          <a:xfrm>
            <a:off x="7137837" y="1261067"/>
            <a:ext cx="1133064" cy="368986"/>
          </a:xfrm>
          <a:prstGeom prst="roundRect">
            <a:avLst/>
          </a:prstGeom>
          <a:solidFill>
            <a:srgbClr val="000000">
              <a:alpha val="30196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buFont typeface="Wingdings" pitchFamily="2" charset="2"/>
              <a:buNone/>
              <a:defRPr/>
            </a:pPr>
            <a:r>
              <a:rPr lang="en-GB" sz="13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Treatmen</a:t>
            </a:r>
            <a:r>
              <a:rPr lang="en-GB" sz="14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t</a:t>
            </a:r>
          </a:p>
        </xdr:txBody>
      </xdr:sp>
      <xdr:sp macro="" textlink="">
        <xdr:nvSpPr>
          <xdr:cNvPr id="17" name="Rounded Rectangle 16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/>
        </xdr:nvSpPr>
        <xdr:spPr bwMode="auto">
          <a:xfrm>
            <a:off x="8590461" y="1255424"/>
            <a:ext cx="992074" cy="366837"/>
          </a:xfrm>
          <a:prstGeom prst="roundRect">
            <a:avLst/>
          </a:prstGeom>
          <a:solidFill>
            <a:srgbClr val="000000">
              <a:alpha val="40000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buFont typeface="Wingdings" pitchFamily="2" charset="2"/>
              <a:buNone/>
              <a:defRPr/>
            </a:pPr>
            <a:r>
              <a:rPr lang="en-GB" sz="13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Reuse</a:t>
            </a:r>
            <a:r>
              <a:rPr lang="en-GB" sz="1100" b="1">
                <a:solidFill>
                  <a:schemeClr val="tx1"/>
                </a:solidFill>
              </a:rPr>
              <a:t>/ </a:t>
            </a:r>
            <a:r>
              <a:rPr lang="en-GB" sz="13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disposal</a:t>
            </a:r>
          </a:p>
        </xdr:txBody>
      </xdr:sp>
      <xdr:sp macro="" textlink="">
        <xdr:nvSpPr>
          <xdr:cNvPr id="18" name="Rounded Rectangle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/>
        </xdr:nvSpPr>
        <xdr:spPr bwMode="auto">
          <a:xfrm>
            <a:off x="5501041" y="1258414"/>
            <a:ext cx="1194989" cy="363847"/>
          </a:xfrm>
          <a:prstGeom prst="roundRect">
            <a:avLst/>
          </a:prstGeom>
          <a:solidFill>
            <a:srgbClr val="000000">
              <a:alpha val="20000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buFont typeface="Wingdings" pitchFamily="2" charset="2"/>
              <a:buNone/>
              <a:defRPr/>
            </a:pPr>
            <a:r>
              <a:rPr lang="en-GB" sz="13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Conveyance</a:t>
            </a:r>
          </a:p>
        </xdr:txBody>
      </xdr:sp>
      <xdr:sp macro="" textlink="">
        <xdr:nvSpPr>
          <xdr:cNvPr id="19" name="Rounded Rectangl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SpPr/>
        </xdr:nvSpPr>
        <xdr:spPr bwMode="auto">
          <a:xfrm>
            <a:off x="4064041" y="1263362"/>
            <a:ext cx="1122344" cy="363847"/>
          </a:xfrm>
          <a:prstGeom prst="roundRect">
            <a:avLst/>
          </a:prstGeom>
          <a:solidFill>
            <a:srgbClr val="000000">
              <a:alpha val="10196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buFont typeface="Wingdings" pitchFamily="2" charset="2"/>
              <a:buNone/>
              <a:defRPr/>
            </a:pPr>
            <a:r>
              <a:rPr lang="en-GB" sz="13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Emptying</a:t>
            </a:r>
          </a:p>
        </xdr:txBody>
      </xdr:sp>
      <xdr:sp macro="" textlink="">
        <xdr:nvSpPr>
          <xdr:cNvPr id="20" name="Rounded 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 bwMode="auto">
          <a:xfrm>
            <a:off x="2612166" y="1258269"/>
            <a:ext cx="1126806" cy="371784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0" tIns="32653" rIns="0" bIns="32653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buFont typeface="Wingdings" pitchFamily="2" charset="2"/>
              <a:buNone/>
              <a:defRPr/>
            </a:pPr>
            <a:r>
              <a:rPr lang="en-GB" sz="13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Containment</a:t>
            </a:r>
          </a:p>
        </xdr:txBody>
      </xdr:sp>
      <xdr:sp macro="" textlink="">
        <xdr:nvSpPr>
          <xdr:cNvPr id="21" name="Right Arrow 20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/>
        </xdr:nvSpPr>
        <xdr:spPr bwMode="auto">
          <a:xfrm>
            <a:off x="3738971" y="1357794"/>
            <a:ext cx="325068" cy="185515"/>
          </a:xfrm>
          <a:prstGeom prst="rightArrow">
            <a:avLst/>
          </a:prstGeom>
          <a:solidFill>
            <a:srgbClr val="000000">
              <a:alpha val="60000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rtlCol="0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buFont typeface="Wingdings" pitchFamily="2" charset="2"/>
              <a:buNone/>
            </a:pPr>
            <a:endParaRPr lang="en-US" sz="1300">
              <a:solidFill>
                <a:schemeClr val="tx1"/>
              </a:solidFill>
            </a:endParaRPr>
          </a:p>
        </xdr:txBody>
      </xdr:sp>
      <xdr:sp macro="" textlink="">
        <xdr:nvSpPr>
          <xdr:cNvPr id="22" name="Right Arrow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SpPr/>
        </xdr:nvSpPr>
        <xdr:spPr bwMode="auto">
          <a:xfrm>
            <a:off x="8270901" y="1352802"/>
            <a:ext cx="326098" cy="185515"/>
          </a:xfrm>
          <a:prstGeom prst="rightArrow">
            <a:avLst/>
          </a:prstGeom>
          <a:solidFill>
            <a:srgbClr val="000000">
              <a:alpha val="60000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rtlCol="0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buFont typeface="Wingdings" pitchFamily="2" charset="2"/>
              <a:buNone/>
            </a:pPr>
            <a:endParaRPr lang="en-US" sz="1300">
              <a:solidFill>
                <a:schemeClr val="tx1"/>
              </a:solidFill>
            </a:endParaRPr>
          </a:p>
        </xdr:txBody>
      </xdr:sp>
      <xdr:sp macro="" textlink="">
        <xdr:nvSpPr>
          <xdr:cNvPr id="23" name="Right Arrow 22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SpPr/>
        </xdr:nvSpPr>
        <xdr:spPr bwMode="auto">
          <a:xfrm>
            <a:off x="6696031" y="1355298"/>
            <a:ext cx="441807" cy="185515"/>
          </a:xfrm>
          <a:prstGeom prst="rightArrow">
            <a:avLst/>
          </a:prstGeom>
          <a:solidFill>
            <a:srgbClr val="000000">
              <a:alpha val="60000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rtlCol="0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buFont typeface="Wingdings" pitchFamily="2" charset="2"/>
              <a:buNone/>
            </a:pPr>
            <a:endParaRPr lang="en-US" sz="1300">
              <a:solidFill>
                <a:schemeClr val="tx1"/>
              </a:solidFill>
            </a:endParaRP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/>
        </xdr:nvSpPr>
        <xdr:spPr bwMode="auto">
          <a:xfrm>
            <a:off x="9870606" y="4943674"/>
            <a:ext cx="1674555" cy="206963"/>
          </a:xfrm>
          <a:prstGeom prst="rect">
            <a:avLst/>
          </a:prstGeom>
          <a:solidFill>
            <a:srgbClr val="993300"/>
          </a:solidFill>
          <a:ln w="6350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>
                <a:solidFill>
                  <a:schemeClr val="bg1"/>
                </a:solidFill>
                <a:latin typeface="Arial"/>
                <a:ea typeface="Calibri"/>
              </a:rPr>
              <a:t>Environment/Waste site</a:t>
            </a: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/>
        </xdr:nvSpPr>
        <xdr:spPr bwMode="auto">
          <a:xfrm>
            <a:off x="9870606" y="2689433"/>
            <a:ext cx="1640799" cy="255600"/>
          </a:xfrm>
          <a:prstGeom prst="rect">
            <a:avLst/>
          </a:prstGeom>
          <a:solidFill>
            <a:srgbClr val="993300"/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 b="1">
                <a:solidFill>
                  <a:schemeClr val="bg1"/>
                </a:solidFill>
                <a:latin typeface="Arial"/>
                <a:ea typeface="Calibri"/>
              </a:rPr>
              <a:t>Water Bodies</a:t>
            </a:r>
            <a:endParaRPr lang="en-US" sz="1000" b="1">
              <a:solidFill>
                <a:schemeClr val="bg1"/>
              </a:solidFill>
              <a:latin typeface="Arial"/>
              <a:ea typeface="Calibri"/>
            </a:endParaRPr>
          </a:p>
        </xdr:txBody>
      </xdr:sp>
      <xdr:sp macro="" textlink="">
        <xdr:nvSpPr>
          <xdr:cNvPr id="26" name="SafeExit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10798712" y="3680783"/>
            <a:ext cx="1041725" cy="343033"/>
          </a:xfrm>
          <a:prstGeom prst="rect">
            <a:avLst/>
          </a:prstGeom>
          <a:solidFill>
            <a:srgbClr val="00B050"/>
          </a:solidFill>
        </xdr:spPr>
        <xdr:txBody>
          <a:bodyPr wrap="square" lIns="91429" tIns="45715" rIns="91429" bIns="45715"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700" b="1">
                <a:solidFill>
                  <a:schemeClr val="bg1"/>
                </a:solidFill>
                <a:latin typeface="Arial"/>
                <a:ea typeface="Calibri"/>
              </a:rPr>
              <a:t>58%</a:t>
            </a:r>
            <a:endParaRPr lang="en-US" sz="1100">
              <a:solidFill>
                <a:schemeClr val="bg1"/>
              </a:solidFill>
              <a:latin typeface="Arial"/>
              <a:ea typeface="Calibri"/>
            </a:endParaRP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="" xmlns:a16="http://schemas.microsoft.com/office/drawing/2014/main" id="{00000000-0008-0000-0000-00001C000000}"/>
              </a:ext>
            </a:extLst>
          </xdr:cNvPr>
          <xdr:cNvSpPr/>
        </xdr:nvSpPr>
        <xdr:spPr bwMode="auto">
          <a:xfrm>
            <a:off x="9870607" y="4568904"/>
            <a:ext cx="1640799" cy="255600"/>
          </a:xfrm>
          <a:prstGeom prst="rect">
            <a:avLst/>
          </a:prstGeom>
          <a:solidFill>
            <a:srgbClr val="993300"/>
          </a:solidFill>
          <a:ln w="6350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defTabSz="914290" rtl="0" eaLnBrk="1" latinLnBrk="0" hangingPunct="1"/>
            <a:r>
              <a:rPr lang="en-US" sz="1100" b="1" kern="1200">
                <a:solidFill>
                  <a:schemeClr val="bg1"/>
                </a:solidFill>
                <a:latin typeface="Arial"/>
                <a:ea typeface="Calibri"/>
                <a:cs typeface="+mn-cs"/>
              </a:rPr>
              <a:t>Solid waste dump site</a:t>
            </a:r>
          </a:p>
        </xdr:txBody>
      </xdr:sp>
      <xdr:sp macro="" textlink="">
        <xdr:nvSpPr>
          <xdr:cNvPr id="31" name="Rounded Rectangle 30">
            <a:extLst>
              <a:ext uri="{FF2B5EF4-FFF2-40B4-BE49-F238E27FC236}">
                <a16:creationId xmlns="" xmlns:a16="http://schemas.microsoft.com/office/drawing/2014/main" id="{00000000-0008-0000-0000-00001F000000}"/>
              </a:ext>
            </a:extLst>
          </xdr:cNvPr>
          <xdr:cNvSpPr/>
        </xdr:nvSpPr>
        <xdr:spPr bwMode="auto">
          <a:xfrm>
            <a:off x="964507" y="1229271"/>
            <a:ext cx="1283851" cy="371784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0" tIns="32653" rIns="0" bIns="32653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buFont typeface="Wingdings" pitchFamily="2" charset="2"/>
              <a:buNone/>
              <a:defRPr/>
            </a:pPr>
            <a:r>
              <a:rPr lang="en-GB" sz="13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User Interface</a:t>
            </a:r>
          </a:p>
        </xdr:txBody>
      </xdr:sp>
      <xdr:sp macro="" textlink="">
        <xdr:nvSpPr>
          <xdr:cNvPr id="32" name="Right Arrow 31">
            <a:extLst>
              <a:ext uri="{FF2B5EF4-FFF2-40B4-BE49-F238E27FC236}">
                <a16:creationId xmlns="" xmlns:a16="http://schemas.microsoft.com/office/drawing/2014/main" id="{00000000-0008-0000-0000-000020000000}"/>
              </a:ext>
            </a:extLst>
          </xdr:cNvPr>
          <xdr:cNvSpPr/>
        </xdr:nvSpPr>
        <xdr:spPr bwMode="auto">
          <a:xfrm>
            <a:off x="2266195" y="1329467"/>
            <a:ext cx="325068" cy="185515"/>
          </a:xfrm>
          <a:prstGeom prst="rightArrow">
            <a:avLst/>
          </a:prstGeom>
          <a:solidFill>
            <a:srgbClr val="000000">
              <a:alpha val="60000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rtlCol="0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buFont typeface="Wingdings" pitchFamily="2" charset="2"/>
              <a:buNone/>
            </a:pPr>
            <a:endParaRPr lang="en-US" sz="1300">
              <a:solidFill>
                <a:schemeClr val="tx1"/>
              </a:solidFill>
            </a:endParaRPr>
          </a:p>
        </xdr:txBody>
      </xdr:sp>
      <xdr:sp macro="" textlink="">
        <xdr:nvSpPr>
          <xdr:cNvPr id="34" name="IndToilet">
            <a:extLst>
              <a:ext uri="{FF2B5EF4-FFF2-40B4-BE49-F238E27FC236}">
                <a16:creationId xmlns=""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081020" y="2531813"/>
            <a:ext cx="861084" cy="1299346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spcCol="0" rtlCol="0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Individual Toilets
(94.2%)</a:t>
            </a:r>
          </a:p>
        </xdr:txBody>
      </xdr:sp>
      <xdr:sp macro="" textlink="">
        <xdr:nvSpPr>
          <xdr:cNvPr id="35" name="CommToilet">
            <a:extLst>
              <a:ext uri="{FF2B5EF4-FFF2-40B4-BE49-F238E27FC236}">
                <a16:creationId xmlns=""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081020" y="4088780"/>
            <a:ext cx="861084" cy="1056912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spcCol="0" rtlCol="0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Community Toilets
(5.8%)</a:t>
            </a:r>
          </a:p>
        </xdr:txBody>
      </xdr:sp>
      <xdr:sp macro="" textlink="">
        <xdr:nvSpPr>
          <xdr:cNvPr id="36" name="OD">
            <a:extLst>
              <a:ext uri="{FF2B5EF4-FFF2-40B4-BE49-F238E27FC236}">
                <a16:creationId xmlns=""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1081020" y="5541530"/>
            <a:ext cx="861084" cy="659175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65306" tIns="32653" rIns="65306" bIns="32653" spcCol="0" rtlCol="0" anchor="ctr"/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Open Defecation
(0%)</a:t>
            </a:r>
          </a:p>
        </xdr:txBody>
      </xdr:sp>
      <xdr:sp macro="" textlink="">
        <xdr:nvSpPr>
          <xdr:cNvPr id="38" name="SepticTank_UnSafeEmpty">
            <a:extLst>
              <a:ext uri="{FF2B5EF4-FFF2-40B4-BE49-F238E27FC236}">
                <a16:creationId xmlns=""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3788030" y="4733540"/>
            <a:ext cx="3488141" cy="187410"/>
          </a:xfrm>
          <a:prstGeom prst="homePlate">
            <a:avLst/>
          </a:prstGeom>
          <a:solidFill>
            <a:srgbClr val="00B050"/>
          </a:solidFill>
          <a:ln w="12700" cap="flat" cmpd="sng" algn="ctr">
            <a:noFill/>
            <a:prstDash val="solid"/>
          </a:ln>
          <a:effectLst>
            <a:softEdge rad="0"/>
          </a:effectLst>
        </xdr:spPr>
        <xdr:txBody>
          <a:bodyPr rot="0" spcFirstLastPara="0" vert="horz" wrap="square" lIns="91429" tIns="45715" rIns="91429" bIns="45715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00">
                <a:solidFill>
                  <a:srgbClr val="000000"/>
                </a:solidFill>
                <a:latin typeface="+mn-lt"/>
                <a:cs typeface="Arial" panose="020B0604020202020204" pitchFamily="34" charset="0"/>
              </a:rPr>
              <a:t>29.9%</a:t>
            </a:r>
          </a:p>
        </xdr:txBody>
      </xdr:sp>
      <xdr:sp macro="" textlink="">
        <xdr:nvSpPr>
          <xdr:cNvPr id="40" name="UndergroundSewerage">
            <a:extLst>
              <a:ext uri="{FF2B5EF4-FFF2-40B4-BE49-F238E27FC236}">
                <a16:creationId xmlns=""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5730522" y="2264342"/>
            <a:ext cx="899401" cy="689399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>
                <a:latin typeface="Arial"/>
                <a:ea typeface="Calibri"/>
              </a:rPr>
              <a:t>Underground Sewerage System
(41.8%)</a:t>
            </a:r>
            <a:endParaRPr lang="en-US" sz="1000">
              <a:latin typeface="Arial"/>
              <a:ea typeface="Calibri"/>
            </a:endParaRPr>
          </a:p>
        </xdr:txBody>
      </xdr:sp>
      <xdr:sp macro="" textlink="">
        <xdr:nvSpPr>
          <xdr:cNvPr id="50" name="Text Box 81">
            <a:extLst>
              <a:ext uri="{FF2B5EF4-FFF2-40B4-BE49-F238E27FC236}">
                <a16:creationId xmlns=""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7294656" y="4537185"/>
            <a:ext cx="706528" cy="254419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>
                <a:latin typeface="Arial"/>
                <a:ea typeface="Calibri"/>
              </a:rPr>
              <a:t>Untreated</a:t>
            </a:r>
            <a:endParaRPr lang="en-US" sz="1000">
              <a:latin typeface="Arial"/>
              <a:ea typeface="Calibri"/>
            </a:endParaRPr>
          </a:p>
        </xdr:txBody>
      </xdr:sp>
      <xdr:sp macro="" textlink="">
        <xdr:nvSpPr>
          <xdr:cNvPr id="51" name="Text Box 81">
            <a:extLst>
              <a:ext uri="{FF2B5EF4-FFF2-40B4-BE49-F238E27FC236}">
                <a16:creationId xmlns=""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7294656" y="4305996"/>
            <a:ext cx="706528" cy="231609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>
                <a:latin typeface="Arial"/>
                <a:ea typeface="Calibri"/>
              </a:rPr>
              <a:t>Treated</a:t>
            </a:r>
            <a:endParaRPr lang="en-US" sz="1000">
              <a:latin typeface="Arial"/>
              <a:ea typeface="Calibri"/>
            </a:endParaRPr>
          </a:p>
        </xdr:txBody>
      </xdr:sp>
      <xdr:sp macro="" textlink="">
        <xdr:nvSpPr>
          <xdr:cNvPr id="54" name="Text Box 77">
            <a:extLst>
              <a:ext uri="{FF2B5EF4-FFF2-40B4-BE49-F238E27FC236}">
                <a16:creationId xmlns="" xmlns:a16="http://schemas.microsoft.com/office/drawing/2014/main" id="{00000000-0008-0000-0000-000036000000}"/>
              </a:ext>
            </a:extLst>
          </xdr:cNvPr>
          <xdr:cNvSpPr txBox="1"/>
        </xdr:nvSpPr>
        <xdr:spPr>
          <a:xfrm>
            <a:off x="4396140" y="4387287"/>
            <a:ext cx="753618" cy="205930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900" b="1">
                <a:latin typeface="Arial"/>
                <a:ea typeface="Calibri"/>
              </a:rPr>
              <a:t>Scheduled</a:t>
            </a:r>
            <a:endParaRPr lang="en-US" sz="1000">
              <a:latin typeface="Arial"/>
              <a:ea typeface="Calibri"/>
            </a:endParaRPr>
          </a:p>
        </xdr:txBody>
      </xdr:sp>
      <xdr:sp macro="" textlink="">
        <xdr:nvSpPr>
          <xdr:cNvPr id="55" name="Text Box 77">
            <a:extLst>
              <a:ext uri="{FF2B5EF4-FFF2-40B4-BE49-F238E27FC236}">
                <a16:creationId xmlns="" xmlns:a16="http://schemas.microsoft.com/office/drawing/2014/main" id="{00000000-0008-0000-0000-000037000000}"/>
              </a:ext>
            </a:extLst>
          </xdr:cNvPr>
          <xdr:cNvSpPr txBox="1"/>
        </xdr:nvSpPr>
        <xdr:spPr>
          <a:xfrm>
            <a:off x="4408718" y="4737212"/>
            <a:ext cx="883392" cy="194347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900" b="1">
                <a:latin typeface="Arial"/>
                <a:ea typeface="Calibri"/>
              </a:rPr>
              <a:t>Unscheduled</a:t>
            </a:r>
            <a:endParaRPr lang="en-US" sz="1000">
              <a:latin typeface="Arial"/>
              <a:ea typeface="Calibri"/>
            </a:endParaRPr>
          </a:p>
        </xdr:txBody>
      </xdr:sp>
      <xdr:sp macro="" textlink="">
        <xdr:nvSpPr>
          <xdr:cNvPr id="58" name="SinglePit_Exit" hidden="1">
            <a:extLst>
              <a:ext uri="{FF2B5EF4-FFF2-40B4-BE49-F238E27FC236}">
                <a16:creationId xmlns=""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3788027" y="5529021"/>
            <a:ext cx="5948708" cy="0"/>
          </a:xfrm>
          <a:prstGeom prst="homePlate">
            <a:avLst/>
          </a:prstGeom>
          <a:solidFill>
            <a:srgbClr val="FF0000"/>
          </a:solidFill>
          <a:ln w="12700" cap="flat" cmpd="sng" algn="ctr">
            <a:noFill/>
            <a:prstDash val="solid"/>
          </a:ln>
          <a:effectLst>
            <a:softEdge rad="0"/>
          </a:effectLst>
        </xdr:spPr>
        <xdr:txBody>
          <a:bodyPr rot="0" spcFirstLastPara="0" vert="horz" wrap="square" lIns="91429" tIns="45715" rIns="91429" bIns="45715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00">
                <a:solidFill>
                  <a:srgbClr val="000000"/>
                </a:solidFill>
                <a:latin typeface="+mn-lt"/>
                <a:cs typeface="Arial" panose="020B0604020202020204" pitchFamily="34" charset="0"/>
              </a:rPr>
              <a:t>0%</a:t>
            </a:r>
          </a:p>
        </xdr:txBody>
      </xdr:sp>
      <xdr:sp macro="" textlink="">
        <xdr:nvSpPr>
          <xdr:cNvPr id="61" name="Text Box 81">
            <a:extLst>
              <a:ext uri="{FF2B5EF4-FFF2-40B4-BE49-F238E27FC236}">
                <a16:creationId xmlns=""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7315822" y="2728593"/>
            <a:ext cx="706528" cy="259202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>
                <a:latin typeface="Arial"/>
                <a:ea typeface="Calibri"/>
              </a:rPr>
              <a:t>Untreated</a:t>
            </a:r>
            <a:endParaRPr lang="en-US" sz="1000">
              <a:latin typeface="Arial"/>
              <a:ea typeface="Calibri"/>
            </a:endParaRPr>
          </a:p>
        </xdr:txBody>
      </xdr:sp>
      <xdr:sp macro="" textlink="">
        <xdr:nvSpPr>
          <xdr:cNvPr id="62" name="Text Box 81">
            <a:extLst>
              <a:ext uri="{FF2B5EF4-FFF2-40B4-BE49-F238E27FC236}">
                <a16:creationId xmlns="" xmlns:a16="http://schemas.microsoft.com/office/drawing/2014/main" id="{00000000-0008-0000-0000-00003E000000}"/>
              </a:ext>
            </a:extLst>
          </xdr:cNvPr>
          <xdr:cNvSpPr txBox="1"/>
        </xdr:nvSpPr>
        <xdr:spPr>
          <a:xfrm>
            <a:off x="7315822" y="2262452"/>
            <a:ext cx="706528" cy="256591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>
                <a:latin typeface="Arial"/>
                <a:ea typeface="Calibri"/>
              </a:rPr>
              <a:t>Treated</a:t>
            </a:r>
            <a:endParaRPr lang="en-US" sz="1000">
              <a:latin typeface="Arial"/>
              <a:ea typeface="Calibri"/>
            </a:endParaRPr>
          </a:p>
        </xdr:txBody>
      </xdr:sp>
      <xdr:sp macro="" textlink="">
        <xdr:nvSpPr>
          <xdr:cNvPr id="65" name="Onsite">
            <a:extLst>
              <a:ext uri="{FF2B5EF4-FFF2-40B4-BE49-F238E27FC236}">
                <a16:creationId xmlns="" xmlns:a16="http://schemas.microsoft.com/office/drawing/2014/main" id="{00000000-0008-0000-0000-000041000000}"/>
              </a:ext>
            </a:extLst>
          </xdr:cNvPr>
          <xdr:cNvSpPr txBox="1"/>
        </xdr:nvSpPr>
        <xdr:spPr>
          <a:xfrm>
            <a:off x="3014569" y="3272388"/>
            <a:ext cx="754490" cy="308924"/>
          </a:xfrm>
          <a:prstGeom prst="rect">
            <a:avLst/>
          </a:prstGeom>
          <a:solidFill>
            <a:schemeClr val="tx1">
              <a:lumMod val="20000"/>
              <a:lumOff val="80000"/>
            </a:schemeClr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>
                <a:latin typeface="Arial"/>
                <a:ea typeface="Calibri"/>
              </a:rPr>
              <a:t>Onsite
(58.2%)</a:t>
            </a:r>
            <a:endParaRPr lang="en-US" sz="1000">
              <a:latin typeface="Arial"/>
              <a:ea typeface="Calibri"/>
            </a:endParaRPr>
          </a:p>
        </xdr:txBody>
      </xdr:sp>
      <xdr:sp macro="" textlink="">
        <xdr:nvSpPr>
          <xdr:cNvPr id="66" name="DoublePit">
            <a:extLst>
              <a:ext uri="{FF2B5EF4-FFF2-40B4-BE49-F238E27FC236}">
                <a16:creationId xmlns="" xmlns:a16="http://schemas.microsoft.com/office/drawing/2014/main" id="{00000000-0008-0000-0000-000042000000}"/>
              </a:ext>
            </a:extLst>
          </xdr:cNvPr>
          <xdr:cNvSpPr/>
        </xdr:nvSpPr>
        <xdr:spPr>
          <a:xfrm>
            <a:off x="3014570" y="5115471"/>
            <a:ext cx="754489" cy="285750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>
                <a:latin typeface="Arial"/>
                <a:ea typeface="Calibri"/>
              </a:rPr>
              <a:t>Double Pit
(0%)</a:t>
            </a:r>
          </a:p>
        </xdr:txBody>
      </xdr:sp>
      <xdr:sp macro="" textlink="">
        <xdr:nvSpPr>
          <xdr:cNvPr id="67" name="SinglePit">
            <a:extLst>
              <a:ext uri="{FF2B5EF4-FFF2-40B4-BE49-F238E27FC236}">
                <a16:creationId xmlns=""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3014569" y="5401221"/>
            <a:ext cx="754489" cy="381000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>
                <a:latin typeface="Arial"/>
                <a:ea typeface="Calibri"/>
              </a:rPr>
              <a:t>Single Pit
(0%)</a:t>
            </a:r>
          </a:p>
        </xdr:txBody>
      </xdr:sp>
      <xdr:sp macro="" textlink="">
        <xdr:nvSpPr>
          <xdr:cNvPr id="68" name="SepticTotal">
            <a:extLst>
              <a:ext uri="{FF2B5EF4-FFF2-40B4-BE49-F238E27FC236}">
                <a16:creationId xmlns=""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3014567" y="3581313"/>
            <a:ext cx="754489" cy="1534158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>
                <a:latin typeface="Arial"/>
                <a:ea typeface="Calibri"/>
              </a:rPr>
              <a:t>Septic Tank
(58.2%)</a:t>
            </a:r>
          </a:p>
        </xdr:txBody>
      </xdr:sp>
      <xdr:sp macro="" textlink="">
        <xdr:nvSpPr>
          <xdr:cNvPr id="74" name="IndToilet_Septic">
            <a:extLst>
              <a:ext uri="{FF2B5EF4-FFF2-40B4-BE49-F238E27FC236}">
                <a16:creationId xmlns="" xmlns:a16="http://schemas.microsoft.com/office/drawing/2014/main" id="{00000000-0008-0000-0000-00004A000000}"/>
              </a:ext>
            </a:extLst>
          </xdr:cNvPr>
          <xdr:cNvSpPr/>
        </xdr:nvSpPr>
        <xdr:spPr>
          <a:xfrm>
            <a:off x="1972153" y="3564948"/>
            <a:ext cx="1037243" cy="224145"/>
          </a:xfrm>
          <a:prstGeom prst="homePlate">
            <a:avLst/>
          </a:prstGeom>
          <a:solidFill>
            <a:srgbClr val="00B050"/>
          </a:solidFill>
          <a:ln>
            <a:noFill/>
          </a:ln>
          <a:effectLst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18000" rIns="0" rtlCol="0" anchor="ctr" anchorCtr="0"/>
          <a:lstStyle/>
          <a:p>
            <a:pPr algn="l"/>
            <a:r>
              <a:rPr lang="en-IN" sz="1000">
                <a:solidFill>
                  <a:sysClr val="windowText" lastClr="000000"/>
                </a:solidFill>
              </a:rPr>
              <a:t>58.2%</a:t>
            </a:r>
          </a:p>
        </xdr:txBody>
      </xdr:sp>
      <xdr:sp macro="" textlink="">
        <xdr:nvSpPr>
          <xdr:cNvPr id="80" name="IndToilet_SinglePitSeg2" hidden="1">
            <a:extLst>
              <a:ext uri="{FF2B5EF4-FFF2-40B4-BE49-F238E27FC236}">
                <a16:creationId xmlns=""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2293869" y="5505273"/>
            <a:ext cx="714611" cy="0"/>
          </a:xfrm>
          <a:prstGeom prst="homePlate">
            <a:avLst/>
          </a:prstGeom>
          <a:solidFill>
            <a:srgbClr val="00B050"/>
          </a:solidFill>
          <a:ln>
            <a:noFill/>
          </a:ln>
          <a:effectLst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18000" rIns="0" rtlCol="0" anchor="ctr" anchorCtr="0"/>
          <a:lstStyle/>
          <a:p>
            <a:pPr algn="l"/>
            <a:r>
              <a:rPr lang="en-IN" sz="1000">
                <a:solidFill>
                  <a:sysClr val="windowText" lastClr="000000"/>
                </a:solidFill>
              </a:rPr>
              <a:t>0%</a:t>
            </a:r>
          </a:p>
        </xdr:txBody>
      </xdr:sp>
      <xdr:sp macro="" textlink="">
        <xdr:nvSpPr>
          <xdr:cNvPr id="81" name="IndToilet_SinglePitSeg1" hidden="1">
            <a:extLst>
              <a:ext uri="{FF2B5EF4-FFF2-40B4-BE49-F238E27FC236}">
                <a16:creationId xmlns="" xmlns:a16="http://schemas.microsoft.com/office/drawing/2014/main" id="{00000000-0008-0000-0000-000051000000}"/>
              </a:ext>
            </a:extLst>
          </xdr:cNvPr>
          <xdr:cNvSpPr/>
        </xdr:nvSpPr>
        <xdr:spPr>
          <a:xfrm>
            <a:off x="1972143" y="3115775"/>
            <a:ext cx="321716" cy="0"/>
          </a:xfrm>
          <a:prstGeom prst="rect">
            <a:avLst/>
          </a:prstGeom>
          <a:solidFill>
            <a:srgbClr val="00B050"/>
          </a:solidFill>
          <a:ln>
            <a:noFill/>
          </a:ln>
          <a:effectLst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18000" rIns="0" rtlCol="0" anchor="ctr" anchorCtr="0"/>
          <a:lstStyle/>
          <a:p>
            <a:pPr algn="l"/>
            <a:r>
              <a:rPr lang="en-IN" sz="1000">
                <a:solidFill>
                  <a:sysClr val="windowText" lastClr="000000"/>
                </a:solidFill>
              </a:rPr>
              <a:t>0%</a:t>
            </a:r>
          </a:p>
        </xdr:txBody>
      </xdr:sp>
      <xdr:sp macro="" textlink="">
        <xdr:nvSpPr>
          <xdr:cNvPr id="42" name="SepticTank_SafeEmpty_UnTreated_Exit">
            <a:extLst>
              <a:ext uri="{FF2B5EF4-FFF2-40B4-BE49-F238E27FC236}">
                <a16:creationId xmlns="" xmlns:a16="http://schemas.microsoft.com/office/drawing/2014/main" id="{00000000-0008-0000-0000-00002A000000}"/>
              </a:ext>
            </a:extLst>
          </xdr:cNvPr>
          <xdr:cNvSpPr/>
        </xdr:nvSpPr>
        <xdr:spPr bwMode="auto">
          <a:xfrm>
            <a:off x="8034648" y="4557805"/>
            <a:ext cx="1702089" cy="195622"/>
          </a:xfrm>
          <a:prstGeom prst="homePlate">
            <a:avLst/>
          </a:prstGeom>
          <a:solidFill>
            <a:srgbClr val="FF0000"/>
          </a:solidFill>
          <a:ln w="12700" cap="rnd" cmpd="sng" algn="ctr">
            <a:noFill/>
            <a:prstDash val="solid"/>
          </a:ln>
          <a:effectLst>
            <a:softEdge rad="12700"/>
          </a:effectLst>
        </xdr:spPr>
        <xdr:txBody>
          <a:bodyPr rot="0" spcFirstLastPara="0" vert="horz" wrap="square" lIns="91429" tIns="45715" rIns="91429" bIns="45715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4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290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435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58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72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287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016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161" algn="l" defTabSz="91429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00">
                <a:latin typeface="+mn-lt"/>
              </a:rPr>
              <a:t>34.7%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0763250" y="4083844"/>
            <a:ext cx="1119187" cy="2738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Safely</a:t>
            </a:r>
            <a:r>
              <a:rPr lang="en-US" sz="1100" baseline="0"/>
              <a:t> Managed</a:t>
            </a:r>
            <a:endParaRPr lang="en-US" sz="1100"/>
          </a:p>
        </xdr:txBody>
      </xdr:sp>
      <xdr:sp macro="" textlink="">
        <xdr:nvSpPr>
          <xdr:cNvPr id="69" name="TextBox 68"/>
          <xdr:cNvSpPr txBox="1"/>
        </xdr:nvSpPr>
        <xdr:spPr>
          <a:xfrm>
            <a:off x="10644187" y="5795963"/>
            <a:ext cx="1331119" cy="3000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Unsafely</a:t>
            </a:r>
            <a:r>
              <a:rPr lang="en-US" sz="1100" baseline="0"/>
              <a:t> Managed</a:t>
            </a:r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166"/>
  <sheetViews>
    <sheetView tabSelected="1" view="pageBreakPreview" zoomScale="60" zoomScaleNormal="80" workbookViewId="0">
      <selection activeCell="U10" sqref="U10"/>
    </sheetView>
  </sheetViews>
  <sheetFormatPr defaultRowHeight="15"/>
  <cols>
    <col min="1" max="1" width="9.140625" customWidth="1"/>
    <col min="2" max="2" width="5.42578125" customWidth="1"/>
    <col min="3" max="3" width="12.7109375" customWidth="1"/>
    <col min="4" max="4" width="4.42578125" customWidth="1"/>
    <col min="5" max="5" width="20.42578125" customWidth="1"/>
    <col min="9" max="9" width="11" bestFit="1" customWidth="1"/>
    <col min="19" max="19" width="11" bestFit="1" customWidth="1"/>
  </cols>
  <sheetData>
    <row r="1" spans="1:19" ht="22.5" customHeight="1" thickBot="1">
      <c r="C1" s="115" t="s">
        <v>112</v>
      </c>
    </row>
    <row r="2" spans="1:19" ht="28.5" customHeight="1" thickBot="1">
      <c r="C2" s="110" t="s">
        <v>105</v>
      </c>
      <c r="D2" s="111"/>
      <c r="E2" s="159" t="s">
        <v>150</v>
      </c>
    </row>
    <row r="10" spans="1:19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s="1" customForma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19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1:19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1:19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1:19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1:19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1:19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19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1:19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1:19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1:19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19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1:19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1:19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1:19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1:19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1:19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1:19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1:19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1:19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1:19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1:19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1:19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1:19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1:19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1:19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1:19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1:19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1:19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1:19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5.75" hidden="1" thickBot="1"/>
    <row r="55" spans="1:19" ht="15.75" hidden="1" thickBot="1">
      <c r="C55" s="1" t="s">
        <v>119</v>
      </c>
      <c r="D55" s="1" t="s">
        <v>120</v>
      </c>
      <c r="H55" s="1" t="s">
        <v>121</v>
      </c>
      <c r="J55" s="112" t="s">
        <v>122</v>
      </c>
      <c r="M55" s="110" t="s">
        <v>114</v>
      </c>
      <c r="N55" s="111"/>
      <c r="O55" s="81" t="s">
        <v>116</v>
      </c>
    </row>
    <row r="56" spans="1:19" hidden="1">
      <c r="C56" t="str">
        <f>ULB</f>
        <v>Panchgani</v>
      </c>
      <c r="D56">
        <f>MATCH(E2,Cities,0)</f>
        <v>1</v>
      </c>
      <c r="H56" t="str">
        <f>O55</f>
        <v>Maharashtra</v>
      </c>
      <c r="J56" s="113" t="s">
        <v>115</v>
      </c>
    </row>
    <row r="57" spans="1:19" hidden="1">
      <c r="J57" s="113" t="s">
        <v>118</v>
      </c>
    </row>
    <row r="58" spans="1:19" hidden="1">
      <c r="J58" s="113" t="s">
        <v>116</v>
      </c>
    </row>
    <row r="59" spans="1:19" hidden="1">
      <c r="J59" s="114" t="s">
        <v>117</v>
      </c>
    </row>
    <row r="60" spans="1:19" hidden="1">
      <c r="I60" s="4"/>
      <c r="J60" s="4"/>
      <c r="S60" s="4"/>
    </row>
    <row r="61" spans="1:19" hidden="1">
      <c r="I61" s="4"/>
      <c r="J61" s="4"/>
    </row>
    <row r="62" spans="1:19" hidden="1">
      <c r="I62" s="4"/>
      <c r="J62" s="4"/>
    </row>
    <row r="63" spans="1:19" hidden="1">
      <c r="I63" s="4"/>
      <c r="J63" s="4"/>
    </row>
    <row r="64" spans="1:19" hidden="1"/>
    <row r="65" spans="3:18" hidden="1">
      <c r="N65" s="1"/>
      <c r="O65" s="1"/>
      <c r="P65" s="1"/>
      <c r="Q65" s="1"/>
      <c r="R65" s="1"/>
    </row>
    <row r="66" spans="3:18" hidden="1">
      <c r="C66" s="1" t="s">
        <v>19</v>
      </c>
      <c r="D66" s="1"/>
      <c r="E66" s="1" t="s">
        <v>20</v>
      </c>
      <c r="F66" s="6" t="s">
        <v>31</v>
      </c>
      <c r="G66" s="6"/>
      <c r="H66" s="1" t="s">
        <v>22</v>
      </c>
      <c r="I66" s="1"/>
      <c r="J66" s="1" t="s">
        <v>21</v>
      </c>
      <c r="K66" s="6" t="s">
        <v>31</v>
      </c>
      <c r="L66" s="1"/>
      <c r="M66" s="1" t="s">
        <v>23</v>
      </c>
      <c r="N66" s="1"/>
      <c r="O66" s="1" t="s">
        <v>24</v>
      </c>
      <c r="P66" s="6" t="s">
        <v>31</v>
      </c>
    </row>
    <row r="67" spans="3:18" ht="30" hidden="1">
      <c r="C67" s="8" t="s">
        <v>0</v>
      </c>
      <c r="D67" s="8"/>
      <c r="E67" s="9"/>
      <c r="F67" s="9"/>
      <c r="G67" s="9"/>
      <c r="H67" s="9"/>
      <c r="I67" s="53">
        <f>IFERROR(ROUND(INDEX('Calculation sheet'!Bathroom_Drains,,D56)*100,1),"")</f>
        <v>0</v>
      </c>
      <c r="J67" s="10" t="s">
        <v>5</v>
      </c>
      <c r="K67" s="10"/>
      <c r="L67" s="67"/>
      <c r="M67" s="68" t="s">
        <v>18</v>
      </c>
      <c r="N67" s="70"/>
      <c r="O67" s="71"/>
    </row>
    <row r="68" spans="3:18" hidden="1">
      <c r="C68" s="48">
        <f>IFERROR(ROUND(INDEX('Calculation sheet'!Bathroom,,D56)*100,1),"")</f>
        <v>0</v>
      </c>
      <c r="D68" s="14"/>
      <c r="L68" s="69" t="str">
        <f>IFERROR(ROUND(INDEX('Calculation sheet'!Bathroom_Drains_unTreated_Exit,,D56)*100,1),"")</f>
        <v/>
      </c>
      <c r="M68" s="68" t="s">
        <v>3</v>
      </c>
      <c r="N68" s="72"/>
      <c r="O68" s="73" t="s">
        <v>4</v>
      </c>
      <c r="P68" s="56">
        <f>SUM(N68,N70)</f>
        <v>7.1</v>
      </c>
    </row>
    <row r="69" spans="3:18" ht="30" hidden="1">
      <c r="C69" s="2"/>
      <c r="D69" s="45" t="str">
        <f>IFERROR(ROUND(INDEX('Calculation sheet'!Bathroom_Sewerage,,D56)*100,1),"")</f>
        <v/>
      </c>
      <c r="E69" s="8" t="s">
        <v>6</v>
      </c>
      <c r="F69" s="46">
        <f>ROUND(SUM(D69,D77,D83),1)</f>
        <v>41.8</v>
      </c>
      <c r="G69" s="9"/>
      <c r="H69" s="9"/>
      <c r="I69" s="55">
        <f>IFERROR(ROUND(INDEX('Calculation sheet'!Sewerage_SafelyConveyed,,D56)*100,1),"")</f>
        <v>41.8</v>
      </c>
      <c r="J69" s="8" t="s">
        <v>6</v>
      </c>
      <c r="K69" s="8"/>
      <c r="L69" s="64">
        <f>IFERROR(ROUND(INDEX('Calculation sheet'!Sewerage_Treated_Exit,,D56)*100,1),"")</f>
        <v>34.700000000000003</v>
      </c>
      <c r="M69" s="10" t="s">
        <v>18</v>
      </c>
      <c r="N69" s="66">
        <f>Sewerage_Treated</f>
        <v>34.700000000000003</v>
      </c>
      <c r="P69" s="6" t="s">
        <v>31</v>
      </c>
    </row>
    <row r="70" spans="3:18" hidden="1">
      <c r="C70" s="2"/>
      <c r="D70" s="13"/>
      <c r="F70" s="6" t="s">
        <v>31</v>
      </c>
      <c r="L70" s="51">
        <f>IFERROR(ROUND(INDEX('Calculation sheet'!Sewerage_NoTreatment,,D56)*100,1),"")</f>
        <v>7.1</v>
      </c>
      <c r="M70" s="10" t="s">
        <v>3</v>
      </c>
      <c r="N70" s="53">
        <f>Sewerage_NoTreatment</f>
        <v>7.1</v>
      </c>
      <c r="O70" s="9" t="s">
        <v>4</v>
      </c>
    </row>
    <row r="71" spans="3:18" hidden="1">
      <c r="D71" s="45">
        <f>IFERROR(ROUND(INDEX('Calculation sheet'!Bathroom_Septic,,D56)*100,1),"")</f>
        <v>0</v>
      </c>
      <c r="E71" s="8" t="s">
        <v>9</v>
      </c>
      <c r="F71" s="46">
        <f>SUM(D71,D78,D84)</f>
        <v>58.2</v>
      </c>
    </row>
    <row r="72" spans="3:18" hidden="1">
      <c r="F72" s="6" t="s">
        <v>31</v>
      </c>
      <c r="G72" s="51" t="str">
        <f>IFERROR(ROUND(INDEX('Calculation sheet'!SepticTank_Effluent,,D56)*100,1),"")</f>
        <v/>
      </c>
      <c r="H72" s="9" t="s">
        <v>28</v>
      </c>
      <c r="I72" s="54">
        <f>IFERROR(ROUND(INDEX('Calculation sheet'!SepticTank_SettledSewer,,D56)*100,1),"")</f>
        <v>0</v>
      </c>
      <c r="J72" s="9" t="s">
        <v>35</v>
      </c>
      <c r="K72" s="46">
        <f>SepticTank_SettledSewer+Bathroom_Drains</f>
        <v>0</v>
      </c>
      <c r="L72" s="60">
        <f>IFERROR(ROUND(INDEX('Calculation sheet'!SettledSewer_Treated_Exit,,D56)*100,1),"")</f>
        <v>0</v>
      </c>
      <c r="M72" s="10" t="s">
        <v>18</v>
      </c>
      <c r="N72" s="3"/>
      <c r="O72" s="3"/>
    </row>
    <row r="73" spans="3:18" hidden="1">
      <c r="G73" s="11"/>
      <c r="I73" s="13"/>
      <c r="K73" s="6" t="s">
        <v>31</v>
      </c>
      <c r="L73" s="61">
        <f>IFERROR(ROUND(INDEX('Calculation sheet'!SettledSewer_UnTreated_Exit,,D56)*100,1),"")</f>
        <v>0</v>
      </c>
      <c r="M73" s="15" t="s">
        <v>3</v>
      </c>
      <c r="N73" s="3"/>
      <c r="O73" s="3"/>
    </row>
    <row r="74" spans="3:18" hidden="1">
      <c r="G74" s="11"/>
      <c r="I74" s="51">
        <f>IFERROR(ROUND(INDEX('Calculation sheet'!SepticTank_SoakPit,,D56)*100,1),"")</f>
        <v>0</v>
      </c>
      <c r="J74" s="10" t="s">
        <v>34</v>
      </c>
      <c r="K74" s="10"/>
    </row>
    <row r="75" spans="3:18" hidden="1">
      <c r="G75" s="51">
        <f>IFERROR(ROUND(INDEX('Calculation sheet'!SepticTank_SafeEmpty,,D56)*100,1),"")</f>
        <v>28.3</v>
      </c>
      <c r="H75" s="9" t="s">
        <v>15</v>
      </c>
      <c r="I75" s="9"/>
      <c r="J75" s="9"/>
      <c r="K75" s="9"/>
      <c r="L75" s="62">
        <f>IFERROR(ROUND(INDEX('Calculation sheet'!SepticTank_Treated_Exit,,D56)*100,1),"")</f>
        <v>23.5</v>
      </c>
      <c r="M75" s="16" t="s">
        <v>18</v>
      </c>
      <c r="N75" s="7"/>
      <c r="O75" s="3"/>
    </row>
    <row r="76" spans="3:18" hidden="1">
      <c r="D76" s="2"/>
      <c r="G76" s="11"/>
      <c r="H76" s="3"/>
      <c r="I76" s="3"/>
      <c r="L76" s="63">
        <f>IFERROR(ROUND(INDEX('Calculation sheet'!SepticTank_UnTreated_Exit,,D56)*100,1),"")+SepticTank_UnSafeEmpty</f>
        <v>34.699999999999996</v>
      </c>
      <c r="M76" s="10" t="s">
        <v>3</v>
      </c>
      <c r="N76" s="47">
        <f>SepticTank_SafeEmpty_UnTreated_Exit</f>
        <v>34.699999999999996</v>
      </c>
      <c r="O76" s="12" t="s">
        <v>29</v>
      </c>
    </row>
    <row r="77" spans="3:18" ht="30" hidden="1">
      <c r="C77" s="8" t="s">
        <v>26</v>
      </c>
      <c r="D77" s="47">
        <f>IFERROR(ROUND(INDEX('Calculation sheet'!IndToilet_Sewerage,,D56)*100,1),"")</f>
        <v>36</v>
      </c>
      <c r="E77" s="8" t="s">
        <v>6</v>
      </c>
      <c r="G77" s="52">
        <f>IFERROR(ROUND(INDEX('Calculation sheet'!SepticTank_UnSafeEmpty,,D56)*100,1),"")</f>
        <v>29.9</v>
      </c>
      <c r="H77" s="9" t="s">
        <v>16</v>
      </c>
      <c r="I77" s="9"/>
      <c r="J77" s="9"/>
      <c r="K77" s="9"/>
      <c r="L77" s="47"/>
      <c r="M77" s="10" t="s">
        <v>3</v>
      </c>
      <c r="N77" s="47"/>
      <c r="O77" s="12" t="s">
        <v>30</v>
      </c>
    </row>
    <row r="78" spans="3:18" hidden="1">
      <c r="C78" s="49">
        <f>IFERROR(ROUND(INDEX('Calculation sheet'!IndToilet,,D56)*100,1),"")</f>
        <v>94.2</v>
      </c>
      <c r="D78" s="45">
        <f>IFERROR(ROUND(INDEX('Calculation sheet'!IndToilet_Septic,,D56)*100,1),"")</f>
        <v>58.2</v>
      </c>
      <c r="E78" s="8" t="s">
        <v>9</v>
      </c>
      <c r="H78" s="3"/>
      <c r="I78" s="3"/>
    </row>
    <row r="79" spans="3:18" ht="60" hidden="1">
      <c r="D79" s="45">
        <f>IFERROR(ROUND(INDEX('Calculation sheet'!IndToilet_DoublePit,,D56)*100,1),"")</f>
        <v>0</v>
      </c>
      <c r="E79" s="8" t="s">
        <v>10</v>
      </c>
      <c r="F79" s="8"/>
      <c r="G79" s="65">
        <f>IndToilet_DoublePit</f>
        <v>0</v>
      </c>
      <c r="H79" s="8" t="s">
        <v>25</v>
      </c>
      <c r="I79" s="3"/>
      <c r="L79" s="3"/>
      <c r="N79" s="5"/>
    </row>
    <row r="80" spans="3:18" hidden="1">
      <c r="D80" s="45">
        <f>IFERROR(ROUND(INDEX('Calculation sheet'!IndToilet_SinglePit,,D56)*100,1),"")</f>
        <v>0</v>
      </c>
      <c r="E80" s="8" t="s">
        <v>11</v>
      </c>
      <c r="F80" s="58"/>
      <c r="G80" s="59">
        <f>IndToilet_SinglePit</f>
        <v>0</v>
      </c>
      <c r="I80" s="3"/>
      <c r="L80" s="3"/>
      <c r="N80" s="5"/>
      <c r="O80" s="5"/>
    </row>
    <row r="81" spans="3:16" hidden="1">
      <c r="F81" s="75">
        <f>SUM(SepticTotal,IndToilet_DoublePit,IndToilet_SinglePit)</f>
        <v>58.2</v>
      </c>
      <c r="I81" s="3"/>
      <c r="L81" s="3"/>
    </row>
    <row r="82" spans="3:16" hidden="1">
      <c r="F82" s="76" t="s">
        <v>31</v>
      </c>
      <c r="I82" s="3"/>
      <c r="L82" s="3"/>
      <c r="O82" t="s">
        <v>32</v>
      </c>
      <c r="P82" s="77">
        <f>ROUND(SUM(Sewerage_Untreated_WaterbodiesExit,Bathroom_Drains_Untreated_WaterbodiesExit,SettledSewerDrains_UnTreated_Exit,N76,SepticTank_UnSafeEmpty_Exit,SinglePit_Exit,OD_Environment),0)</f>
        <v>42</v>
      </c>
    </row>
    <row r="83" spans="3:16" ht="30" hidden="1">
      <c r="C83" s="8" t="s">
        <v>27</v>
      </c>
      <c r="D83" s="47">
        <f>IFERROR(ROUND(INDEX('Calculation sheet'!CommToilet_Sewerage,,D56)*100,1),"")</f>
        <v>5.8</v>
      </c>
      <c r="E83" s="8" t="s">
        <v>6</v>
      </c>
      <c r="I83" s="3"/>
      <c r="O83" t="s">
        <v>33</v>
      </c>
      <c r="P83" s="77">
        <f>ROUND(SUM(Bathroom_Drains_Treated_Exit,Sewerage_Treated,SettledSewerDrains_Treated_Exit,SepticTank_SoakPit_Exit,SepticTank_SafeEmpty_Treated_Exit,DoublePit_SafelyAbandoned),0)</f>
        <v>58</v>
      </c>
    </row>
    <row r="84" spans="3:16" hidden="1">
      <c r="C84" s="50">
        <f>IFERROR(ROUND(INDEX('Calculation sheet'!CommToilet,,D56)*100,1),"")</f>
        <v>5.8</v>
      </c>
      <c r="D84" s="45">
        <f>IFERROR(ROUND(INDEX('Calculation sheet'!CommToilet_Septic,,D56)*100,1),"")</f>
        <v>0</v>
      </c>
      <c r="E84" s="8" t="s">
        <v>9</v>
      </c>
      <c r="I84" s="3"/>
      <c r="P84" s="77">
        <f>SUM(P82:P83)</f>
        <v>100</v>
      </c>
    </row>
    <row r="85" spans="3:16" hidden="1">
      <c r="F85" s="2"/>
      <c r="G85" s="2"/>
      <c r="I85" s="3"/>
    </row>
    <row r="86" spans="3:16" hidden="1">
      <c r="C86" s="8" t="s">
        <v>2</v>
      </c>
      <c r="D86" s="53">
        <f>IFERROR(ROUND(INDEX('Calculation sheet'!OD_Environment,,D56)*100,1),"")</f>
        <v>0</v>
      </c>
      <c r="E86" s="17" t="s">
        <v>36</v>
      </c>
      <c r="I86" s="3"/>
    </row>
    <row r="87" spans="3:16" hidden="1">
      <c r="C87" s="50">
        <f>IFERROR(ROUND(INDEX('Calculation sheet'!OD_Environment,,D56)*100,1),"")</f>
        <v>0</v>
      </c>
      <c r="F87" s="2"/>
      <c r="G87" s="2"/>
      <c r="I87" s="3"/>
    </row>
    <row r="88" spans="3:16" hidden="1">
      <c r="I88" s="3"/>
    </row>
    <row r="89" spans="3:16" hidden="1">
      <c r="F89" s="2"/>
      <c r="G89" s="2"/>
      <c r="I89" s="3"/>
    </row>
    <row r="90" spans="3:16" hidden="1">
      <c r="I90" s="3"/>
      <c r="L90" s="3"/>
    </row>
    <row r="91" spans="3:16" hidden="1">
      <c r="F91" s="2"/>
      <c r="G91" s="2"/>
      <c r="I91" s="3"/>
      <c r="L91" s="3"/>
    </row>
    <row r="92" spans="3:16" hidden="1">
      <c r="I92" s="3"/>
      <c r="L92" s="3"/>
    </row>
    <row r="93" spans="3:16" hidden="1">
      <c r="I93" s="3"/>
      <c r="L93" s="3"/>
    </row>
    <row r="94" spans="3:16" hidden="1">
      <c r="I94" s="3"/>
      <c r="L94" s="3"/>
    </row>
    <row r="95" spans="3:16" hidden="1">
      <c r="I95" s="3"/>
      <c r="L95" s="3"/>
    </row>
    <row r="96" spans="3:16" hidden="1">
      <c r="D96" s="2"/>
      <c r="I96" s="3"/>
    </row>
    <row r="97" spans="3:9" hidden="1">
      <c r="I97" s="3"/>
    </row>
    <row r="98" spans="3:9" hidden="1"/>
    <row r="99" spans="3:9" hidden="1"/>
    <row r="100" spans="3:9" hidden="1"/>
    <row r="101" spans="3:9" hidden="1"/>
    <row r="102" spans="3:9" hidden="1">
      <c r="D102">
        <f ca="1">ROUNDUP(LOG10(INDIRECT(E104)+IF(INDIRECT(E104)&lt;1,1,IF(INDIRECT(E104)&lt;10,10,100)))*10,2)</f>
        <v>0</v>
      </c>
    </row>
    <row r="103" spans="3:9" hidden="1"/>
    <row r="104" spans="3:9" hidden="1">
      <c r="C104" t="str">
        <f>"Mod"&amp;E104</f>
        <v>ModBathroom_Drains</v>
      </c>
      <c r="D104">
        <f ca="1">IF(INDIRECT(E104)=0,0,IF(INDIRECT(E104)&lt;=1,1,LOG(INDIRECT(E104))*10))</f>
        <v>0</v>
      </c>
      <c r="E104" t="s">
        <v>153</v>
      </c>
    </row>
    <row r="105" spans="3:9" hidden="1">
      <c r="C105" t="str">
        <f t="shared" ref="C105:C133" si="0">"Mod"&amp;E105</f>
        <v>ModBathroom_Drains_Untreated_WaterbodiesExit</v>
      </c>
      <c r="D105">
        <f t="shared" ref="D105:D133" ca="1" si="1">IF(INDIRECT(E105)=0,0,IF(INDIRECT(E105)&lt;=1,1,LOG(INDIRECT(E105))*10))</f>
        <v>0</v>
      </c>
      <c r="E105" t="s">
        <v>154</v>
      </c>
    </row>
    <row r="106" spans="3:9" hidden="1">
      <c r="C106" t="str">
        <f t="shared" si="0"/>
        <v>ModBathroom_Drains_Treated_Exit</v>
      </c>
      <c r="D106">
        <f t="shared" ca="1" si="1"/>
        <v>0</v>
      </c>
      <c r="E106" t="s">
        <v>155</v>
      </c>
    </row>
    <row r="107" spans="3:9" hidden="1">
      <c r="C107" t="str">
        <f t="shared" si="0"/>
        <v>ModBathroom_Septic</v>
      </c>
      <c r="D107">
        <f t="shared" ca="1" si="1"/>
        <v>0</v>
      </c>
      <c r="E107" t="s">
        <v>156</v>
      </c>
    </row>
    <row r="108" spans="3:9" hidden="1">
      <c r="C108" t="str">
        <f t="shared" si="0"/>
        <v>ModBathroom_Sewerage</v>
      </c>
      <c r="D108" t="e">
        <f t="shared" ca="1" si="1"/>
        <v>#VALUE!</v>
      </c>
      <c r="E108" t="s">
        <v>157</v>
      </c>
    </row>
    <row r="109" spans="3:9" hidden="1">
      <c r="C109" t="str">
        <f t="shared" si="0"/>
        <v>ModIndToilet_Sewerage</v>
      </c>
      <c r="D109">
        <f t="shared" ca="1" si="1"/>
        <v>15.563025007672874</v>
      </c>
      <c r="E109" t="s">
        <v>158</v>
      </c>
    </row>
    <row r="110" spans="3:9" hidden="1">
      <c r="C110" t="str">
        <f t="shared" si="0"/>
        <v>ModIndToilet_Septic</v>
      </c>
      <c r="D110">
        <f t="shared" ca="1" si="1"/>
        <v>17.649229846498887</v>
      </c>
      <c r="E110" t="s">
        <v>159</v>
      </c>
    </row>
    <row r="111" spans="3:9" hidden="1">
      <c r="C111" t="str">
        <f t="shared" si="0"/>
        <v>ModIndToilet_DoublePit</v>
      </c>
      <c r="D111">
        <f t="shared" ca="1" si="1"/>
        <v>0</v>
      </c>
      <c r="E111" t="s">
        <v>87</v>
      </c>
    </row>
    <row r="112" spans="3:9" hidden="1">
      <c r="C112" t="str">
        <f t="shared" si="0"/>
        <v>ModIndToilet_SinglePit</v>
      </c>
      <c r="D112">
        <f t="shared" ca="1" si="1"/>
        <v>0</v>
      </c>
      <c r="E112" t="s">
        <v>88</v>
      </c>
    </row>
    <row r="113" spans="3:5" hidden="1">
      <c r="C113" t="str">
        <f t="shared" si="0"/>
        <v>ModCommToilet_Sewerage</v>
      </c>
      <c r="D113">
        <f t="shared" ca="1" si="1"/>
        <v>7.6342799356293725</v>
      </c>
      <c r="E113" t="s">
        <v>160</v>
      </c>
    </row>
    <row r="114" spans="3:5" hidden="1">
      <c r="C114" t="str">
        <f t="shared" si="0"/>
        <v>ModCommToilet_Septic</v>
      </c>
      <c r="D114">
        <f t="shared" ca="1" si="1"/>
        <v>0</v>
      </c>
      <c r="E114" t="s">
        <v>161</v>
      </c>
    </row>
    <row r="115" spans="3:5" hidden="1">
      <c r="C115" t="str">
        <f t="shared" si="0"/>
        <v>ModSewerage_SafelyConveyed</v>
      </c>
      <c r="D115">
        <f t="shared" ca="1" si="1"/>
        <v>16.211762817750351</v>
      </c>
      <c r="E115" t="s">
        <v>162</v>
      </c>
    </row>
    <row r="116" spans="3:5" hidden="1">
      <c r="C116" t="str">
        <f t="shared" si="0"/>
        <v>ModSewerage_Treated_Exit</v>
      </c>
      <c r="D116">
        <f t="shared" ca="1" si="1"/>
        <v>15.403294747908738</v>
      </c>
      <c r="E116" t="s">
        <v>163</v>
      </c>
    </row>
    <row r="117" spans="3:5" hidden="1">
      <c r="C117" t="str">
        <f t="shared" si="0"/>
        <v>ModSewerage_NoTreatment</v>
      </c>
      <c r="D117">
        <f t="shared" ca="1" si="1"/>
        <v>8.5125834871907529</v>
      </c>
      <c r="E117" t="s">
        <v>164</v>
      </c>
    </row>
    <row r="118" spans="3:5" hidden="1">
      <c r="C118" t="str">
        <f t="shared" si="0"/>
        <v>ModSewerage_Untreated_WaterbodiesExit</v>
      </c>
      <c r="D118">
        <f t="shared" ca="1" si="1"/>
        <v>8.5125834871907529</v>
      </c>
      <c r="E118" t="s">
        <v>165</v>
      </c>
    </row>
    <row r="119" spans="3:5" hidden="1">
      <c r="C119" t="str">
        <f t="shared" si="0"/>
        <v>ModSepticTank_Effluent</v>
      </c>
      <c r="D119" t="e">
        <f t="shared" ca="1" si="1"/>
        <v>#VALUE!</v>
      </c>
      <c r="E119" t="s">
        <v>166</v>
      </c>
    </row>
    <row r="120" spans="3:5" hidden="1">
      <c r="C120" t="str">
        <f t="shared" si="0"/>
        <v>ModSepticTank_SoakPit_Exit</v>
      </c>
      <c r="D120">
        <f t="shared" ca="1" si="1"/>
        <v>0</v>
      </c>
      <c r="E120" t="s">
        <v>167</v>
      </c>
    </row>
    <row r="121" spans="3:5" hidden="1">
      <c r="C121" t="str">
        <f t="shared" si="0"/>
        <v>ModSepticTank_SettledSewer</v>
      </c>
      <c r="D121">
        <f ca="1">IF(INDIRECT(E121)=0,0,IF(INDIRECT(E121)&lt;=1,1,LOG(INDIRECT(E121))*10))</f>
        <v>0</v>
      </c>
      <c r="E121" t="s">
        <v>168</v>
      </c>
    </row>
    <row r="122" spans="3:5" hidden="1">
      <c r="C122" t="str">
        <f t="shared" si="0"/>
        <v>ModSettledSewerDrains_Treated_Exit</v>
      </c>
      <c r="D122">
        <f t="shared" ca="1" si="1"/>
        <v>0</v>
      </c>
      <c r="E122" t="s">
        <v>169</v>
      </c>
    </row>
    <row r="123" spans="3:5" hidden="1">
      <c r="C123" t="str">
        <f t="shared" si="0"/>
        <v>ModSettledSewerDrains_UnTreated_Exit</v>
      </c>
      <c r="D123">
        <f t="shared" ca="1" si="1"/>
        <v>0</v>
      </c>
      <c r="E123" t="s">
        <v>170</v>
      </c>
    </row>
    <row r="124" spans="3:5" hidden="1">
      <c r="C124" t="str">
        <f t="shared" si="0"/>
        <v>ModSepticTank_SafeEmpty</v>
      </c>
      <c r="D124">
        <f t="shared" ca="1" si="1"/>
        <v>14.517864355242903</v>
      </c>
      <c r="E124" t="s">
        <v>171</v>
      </c>
    </row>
    <row r="125" spans="3:5" hidden="1">
      <c r="C125" t="str">
        <f t="shared" si="0"/>
        <v>ModSepticTank_UnSafeEmpty</v>
      </c>
      <c r="D125">
        <f t="shared" ca="1" si="1"/>
        <v>14.756711883244297</v>
      </c>
      <c r="E125" t="s">
        <v>172</v>
      </c>
    </row>
    <row r="126" spans="3:5" hidden="1">
      <c r="C126" t="str">
        <f t="shared" si="0"/>
        <v>ModSepticTank_UnSafeEmpty_Exit</v>
      </c>
      <c r="D126">
        <f t="shared" ca="1" si="1"/>
        <v>0</v>
      </c>
      <c r="E126" t="s">
        <v>173</v>
      </c>
    </row>
    <row r="127" spans="3:5" hidden="1">
      <c r="C127" t="str">
        <f t="shared" si="0"/>
        <v>ModSepticTank_SafeEmpty_Treated_Exit</v>
      </c>
      <c r="D127">
        <f t="shared" ca="1" si="1"/>
        <v>13.710678622717364</v>
      </c>
      <c r="E127" t="s">
        <v>174</v>
      </c>
    </row>
    <row r="128" spans="3:5" hidden="1">
      <c r="C128" t="str">
        <f t="shared" si="0"/>
        <v>ModSepticTank_SafeEmpty_UnTreated_Exit</v>
      </c>
      <c r="D128">
        <f t="shared" ca="1" si="1"/>
        <v>15.403294747908735</v>
      </c>
      <c r="E128" t="s">
        <v>175</v>
      </c>
    </row>
    <row r="129" spans="3:10" hidden="1">
      <c r="C129" t="str">
        <f t="shared" si="0"/>
        <v>ModDoublePit_SafelyAbandoned</v>
      </c>
      <c r="D129">
        <f t="shared" ca="1" si="1"/>
        <v>0</v>
      </c>
      <c r="E129" t="s">
        <v>176</v>
      </c>
    </row>
    <row r="130" spans="3:10" hidden="1">
      <c r="C130" t="str">
        <f t="shared" si="0"/>
        <v>ModOD_Environment</v>
      </c>
      <c r="D130">
        <f t="shared" ca="1" si="1"/>
        <v>0</v>
      </c>
      <c r="E130" t="s">
        <v>177</v>
      </c>
    </row>
    <row r="131" spans="3:10" hidden="1">
      <c r="C131" t="str">
        <f t="shared" si="0"/>
        <v>ModSinglePit_Exit</v>
      </c>
      <c r="D131">
        <f t="shared" ca="1" si="1"/>
        <v>0</v>
      </c>
      <c r="E131" t="s">
        <v>178</v>
      </c>
    </row>
    <row r="132" spans="3:10" hidden="1">
      <c r="C132" t="str">
        <f t="shared" si="0"/>
        <v>ModSepticTank_SoakPit</v>
      </c>
      <c r="D132">
        <f t="shared" ca="1" si="1"/>
        <v>0</v>
      </c>
      <c r="E132" t="s">
        <v>179</v>
      </c>
    </row>
    <row r="133" spans="3:10" hidden="1">
      <c r="C133" t="str">
        <f t="shared" si="0"/>
        <v>ModSewerage_Treated</v>
      </c>
      <c r="D133">
        <f t="shared" ca="1" si="1"/>
        <v>15.403294747908738</v>
      </c>
      <c r="E133" t="s">
        <v>180</v>
      </c>
    </row>
    <row r="134" spans="3:10" hidden="1"/>
    <row r="135" spans="3:10" hidden="1">
      <c r="C135" s="4"/>
      <c r="J135" s="4"/>
    </row>
    <row r="136" spans="3:10" hidden="1">
      <c r="C136" s="4"/>
    </row>
    <row r="137" spans="3:10" hidden="1">
      <c r="C137" s="4"/>
    </row>
    <row r="138" spans="3:10" hidden="1">
      <c r="C138" s="4"/>
    </row>
    <row r="139" spans="3:10" hidden="1">
      <c r="C139" s="4"/>
    </row>
    <row r="140" spans="3:10" hidden="1">
      <c r="C140" s="4"/>
    </row>
    <row r="141" spans="3:10" hidden="1">
      <c r="C141" s="4"/>
      <c r="E141" s="3"/>
    </row>
    <row r="142" spans="3:10" hidden="1">
      <c r="C142" s="4"/>
      <c r="E142" s="3"/>
    </row>
    <row r="143" spans="3:10" hidden="1">
      <c r="C143" s="4"/>
    </row>
    <row r="144" spans="3:10" hidden="1">
      <c r="C144" s="4"/>
    </row>
    <row r="145" spans="3:8" hidden="1">
      <c r="C145" s="4"/>
    </row>
    <row r="146" spans="3:8" hidden="1">
      <c r="C146" s="4" t="str">
        <f>"Mod"&amp;LEFT(E146,LEN(E146)-12)</f>
        <v>ModBathroom_Drains</v>
      </c>
      <c r="D146">
        <f ca="1">INDIRECT(LEFT(E146,LEN(E146)-12))</f>
        <v>0</v>
      </c>
      <c r="E146" t="s">
        <v>104</v>
      </c>
    </row>
    <row r="147" spans="3:8" hidden="1">
      <c r="C147" s="4" t="str">
        <f t="shared" ref="C147:C151" si="2">"Mod"&amp;LEFT(E147,LEN(E147)-12)</f>
        <v>ModIndToilet_DoublePit</v>
      </c>
      <c r="D147">
        <f t="shared" ref="D147:D150" ca="1" si="3">INDIRECT(LEFT(E147,LEN(E147)-12))</f>
        <v>0</v>
      </c>
      <c r="E147" s="74" t="s">
        <v>106</v>
      </c>
    </row>
    <row r="148" spans="3:8" hidden="1">
      <c r="C148" s="4" t="str">
        <f t="shared" si="2"/>
        <v>ModBathroom_Septic</v>
      </c>
      <c r="D148">
        <f t="shared" ca="1" si="3"/>
        <v>0</v>
      </c>
      <c r="E148" s="74" t="s">
        <v>107</v>
      </c>
    </row>
    <row r="149" spans="3:8" hidden="1">
      <c r="C149" s="4" t="str">
        <f t="shared" si="2"/>
        <v>ModIndToilet_SinglePit</v>
      </c>
      <c r="D149">
        <f t="shared" ca="1" si="3"/>
        <v>0</v>
      </c>
      <c r="E149" s="74" t="s">
        <v>108</v>
      </c>
    </row>
    <row r="150" spans="3:8" hidden="1">
      <c r="C150" s="4" t="str">
        <f t="shared" si="2"/>
        <v>ModCommToilet_Sewerage</v>
      </c>
      <c r="D150">
        <f t="shared" ca="1" si="3"/>
        <v>5.8</v>
      </c>
      <c r="E150" s="74" t="s">
        <v>109</v>
      </c>
    </row>
    <row r="151" spans="3:8" hidden="1">
      <c r="C151" s="4" t="str">
        <f t="shared" si="2"/>
        <v>ModDoublePit_SafelyAbandoned</v>
      </c>
      <c r="E151" t="s">
        <v>111</v>
      </c>
    </row>
    <row r="152" spans="3:8" hidden="1">
      <c r="C152" s="4"/>
    </row>
    <row r="153" spans="3:8" hidden="1"/>
    <row r="154" spans="3:8" hidden="1"/>
    <row r="155" spans="3:8" hidden="1">
      <c r="C155" t="s">
        <v>96</v>
      </c>
      <c r="E155" t="s">
        <v>96</v>
      </c>
      <c r="H155" s="57" t="s">
        <v>99</v>
      </c>
    </row>
    <row r="156" spans="3:8" hidden="1">
      <c r="C156" t="s">
        <v>90</v>
      </c>
      <c r="E156" t="s">
        <v>90</v>
      </c>
      <c r="H156" t="s">
        <v>100</v>
      </c>
    </row>
    <row r="157" spans="3:8" hidden="1">
      <c r="C157" t="s">
        <v>89</v>
      </c>
      <c r="E157" t="s">
        <v>89</v>
      </c>
      <c r="H157" t="s">
        <v>101</v>
      </c>
    </row>
    <row r="158" spans="3:8" hidden="1">
      <c r="C158" t="s">
        <v>2</v>
      </c>
      <c r="E158" t="s">
        <v>2</v>
      </c>
      <c r="H158" t="s">
        <v>13</v>
      </c>
    </row>
    <row r="159" spans="3:8" hidden="1">
      <c r="C159" t="s">
        <v>88</v>
      </c>
      <c r="E159" t="s">
        <v>91</v>
      </c>
      <c r="H159" t="s">
        <v>11</v>
      </c>
    </row>
    <row r="160" spans="3:8" hidden="1">
      <c r="C160" t="s">
        <v>87</v>
      </c>
      <c r="E160" t="s">
        <v>92</v>
      </c>
      <c r="H160" t="s">
        <v>61</v>
      </c>
    </row>
    <row r="161" spans="3:8" hidden="1">
      <c r="C161" t="s">
        <v>98</v>
      </c>
      <c r="E161" t="s">
        <v>98</v>
      </c>
      <c r="H161" t="s">
        <v>1</v>
      </c>
    </row>
    <row r="162" spans="3:8" hidden="1">
      <c r="C162" t="s">
        <v>110</v>
      </c>
      <c r="E162" t="s">
        <v>93</v>
      </c>
      <c r="H162" t="s">
        <v>93</v>
      </c>
    </row>
    <row r="163" spans="3:8" hidden="1">
      <c r="C163" t="s">
        <v>97</v>
      </c>
      <c r="E163" t="s">
        <v>97</v>
      </c>
      <c r="H163" t="s">
        <v>6</v>
      </c>
    </row>
    <row r="164" spans="3:8" hidden="1">
      <c r="C164" t="s">
        <v>94</v>
      </c>
      <c r="E164" t="s">
        <v>94</v>
      </c>
      <c r="H164" t="s">
        <v>102</v>
      </c>
    </row>
    <row r="165" spans="3:8" hidden="1">
      <c r="C165" t="s">
        <v>95</v>
      </c>
      <c r="E165" t="s">
        <v>95</v>
      </c>
      <c r="H165" t="s">
        <v>103</v>
      </c>
    </row>
    <row r="166" spans="3:8" hidden="1"/>
  </sheetData>
  <dataValidations count="1">
    <dataValidation type="list" allowBlank="1" showInputMessage="1" showErrorMessage="1" sqref="H56 O55">
      <formula1>Statelist</formula1>
    </dataValidation>
  </dataValidations>
  <pageMargins left="0.25" right="0.25" top="0.75" bottom="0.75" header="0.3" footer="0.3"/>
  <pageSetup paperSize="9" scale="77" orientation="landscape" horizontalDpi="300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'Input sheet'!$D$4:$G$4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7"/>
  <sheetViews>
    <sheetView topLeftCell="A13" zoomScale="90" zoomScaleNormal="90" workbookViewId="0">
      <selection activeCell="C21" sqref="C21"/>
    </sheetView>
  </sheetViews>
  <sheetFormatPr defaultRowHeight="15"/>
  <cols>
    <col min="2" max="2" width="56.5703125" customWidth="1"/>
    <col min="3" max="3" width="15" customWidth="1"/>
    <col min="4" max="4" width="18.5703125" customWidth="1"/>
    <col min="5" max="5" width="18.85546875" customWidth="1"/>
    <col min="6" max="6" width="18.42578125" customWidth="1"/>
    <col min="7" max="7" width="17" customWidth="1"/>
    <col min="10" max="10" width="25.28515625" customWidth="1"/>
  </cols>
  <sheetData>
    <row r="1" spans="1:10" ht="29.25" customHeight="1">
      <c r="A1" s="162" t="s">
        <v>129</v>
      </c>
      <c r="B1" s="162"/>
      <c r="C1" s="162"/>
      <c r="D1" s="162"/>
      <c r="E1" s="162"/>
      <c r="F1" s="162"/>
      <c r="G1" s="162"/>
    </row>
    <row r="2" spans="1:10" ht="22.5" customHeight="1">
      <c r="A2" s="163" t="s">
        <v>130</v>
      </c>
      <c r="B2" s="163"/>
      <c r="C2" s="163"/>
      <c r="D2" s="163"/>
      <c r="E2" s="163"/>
      <c r="F2" s="163"/>
      <c r="G2" s="163"/>
    </row>
    <row r="3" spans="1:10" ht="21.75" customHeight="1">
      <c r="A3" s="161" t="s">
        <v>138</v>
      </c>
      <c r="B3" s="161" t="s">
        <v>37</v>
      </c>
      <c r="C3" s="161" t="s">
        <v>38</v>
      </c>
      <c r="D3" s="146" t="s">
        <v>116</v>
      </c>
      <c r="E3" s="146" t="s">
        <v>181</v>
      </c>
      <c r="F3" s="160" t="s">
        <v>125</v>
      </c>
      <c r="G3" s="160" t="s">
        <v>125</v>
      </c>
    </row>
    <row r="4" spans="1:10" ht="21.75" customHeight="1">
      <c r="A4" s="161"/>
      <c r="B4" s="161"/>
      <c r="C4" s="161"/>
      <c r="D4" s="146" t="s">
        <v>150</v>
      </c>
      <c r="E4" s="146" t="s">
        <v>182</v>
      </c>
      <c r="F4" s="160" t="s">
        <v>126</v>
      </c>
      <c r="G4" s="160" t="s">
        <v>126</v>
      </c>
    </row>
    <row r="5" spans="1:10" ht="21.75" customHeight="1">
      <c r="A5" s="88">
        <v>1</v>
      </c>
      <c r="B5" s="136" t="s">
        <v>39</v>
      </c>
      <c r="C5" s="116" t="s">
        <v>42</v>
      </c>
      <c r="D5" s="157">
        <v>15530</v>
      </c>
      <c r="E5" s="157">
        <v>24764</v>
      </c>
      <c r="F5" s="157"/>
      <c r="G5" s="157"/>
      <c r="J5" s="147" t="s">
        <v>149</v>
      </c>
    </row>
    <row r="6" spans="1:10" ht="21.75" customHeight="1">
      <c r="A6" s="88">
        <v>2</v>
      </c>
      <c r="B6" s="137" t="s">
        <v>41</v>
      </c>
      <c r="C6" s="143" t="s">
        <v>42</v>
      </c>
      <c r="D6" s="157">
        <v>2690</v>
      </c>
      <c r="E6" s="157">
        <v>5540</v>
      </c>
      <c r="F6" s="157"/>
      <c r="G6" s="157"/>
    </row>
    <row r="7" spans="1:10" ht="21.75" customHeight="1">
      <c r="A7" s="88">
        <v>3</v>
      </c>
      <c r="B7" s="27" t="s">
        <v>131</v>
      </c>
      <c r="C7" s="28" t="s">
        <v>42</v>
      </c>
      <c r="D7" s="145">
        <f>D8+D9+D10+D11</f>
        <v>2534</v>
      </c>
      <c r="E7" s="155">
        <f t="shared" ref="E7:G7" si="0">E8+E9+E10+E11</f>
        <v>5429</v>
      </c>
      <c r="F7" s="145">
        <f t="shared" si="0"/>
        <v>0</v>
      </c>
      <c r="G7" s="145">
        <f t="shared" si="0"/>
        <v>0</v>
      </c>
    </row>
    <row r="8" spans="1:10" ht="21.75" customHeight="1">
      <c r="A8" s="84">
        <v>3.1</v>
      </c>
      <c r="B8" s="139" t="s">
        <v>133</v>
      </c>
      <c r="C8" s="116" t="s">
        <v>42</v>
      </c>
      <c r="D8" s="157">
        <v>969</v>
      </c>
      <c r="E8" s="158">
        <v>3877.9999999999995</v>
      </c>
      <c r="F8" s="157"/>
      <c r="G8" s="157"/>
    </row>
    <row r="9" spans="1:10" ht="21.75" customHeight="1">
      <c r="A9" s="84">
        <v>3.2</v>
      </c>
      <c r="B9" s="140" t="s">
        <v>132</v>
      </c>
      <c r="C9" s="143" t="s">
        <v>42</v>
      </c>
      <c r="D9" s="157">
        <v>1565</v>
      </c>
      <c r="E9" s="158">
        <v>1108</v>
      </c>
      <c r="F9" s="157"/>
      <c r="G9" s="157"/>
    </row>
    <row r="10" spans="1:10" ht="21.75" customHeight="1">
      <c r="A10" s="84">
        <v>3.3</v>
      </c>
      <c r="B10" s="140" t="s">
        <v>134</v>
      </c>
      <c r="C10" s="28" t="s">
        <v>42</v>
      </c>
      <c r="D10" s="157">
        <v>0</v>
      </c>
      <c r="E10" s="158">
        <v>443</v>
      </c>
      <c r="F10" s="157"/>
      <c r="G10" s="157"/>
    </row>
    <row r="11" spans="1:10" ht="21.75" customHeight="1">
      <c r="A11" s="84">
        <v>3.4</v>
      </c>
      <c r="B11" s="140" t="s">
        <v>135</v>
      </c>
      <c r="C11" s="116" t="s">
        <v>42</v>
      </c>
      <c r="D11" s="157">
        <v>0</v>
      </c>
      <c r="E11" s="158">
        <v>0</v>
      </c>
      <c r="F11" s="157"/>
      <c r="G11" s="157"/>
    </row>
    <row r="12" spans="1:10" ht="21.75" customHeight="1">
      <c r="A12" s="88">
        <v>4</v>
      </c>
      <c r="B12" s="138" t="s">
        <v>46</v>
      </c>
      <c r="C12" s="143" t="s">
        <v>42</v>
      </c>
      <c r="D12" s="157">
        <v>156</v>
      </c>
      <c r="E12" s="158">
        <v>55</v>
      </c>
      <c r="F12" s="157"/>
      <c r="G12" s="157"/>
    </row>
    <row r="13" spans="1:10" ht="21.75" customHeight="1">
      <c r="A13" s="84">
        <v>4.0999999999999996</v>
      </c>
      <c r="B13" s="140" t="s">
        <v>50</v>
      </c>
      <c r="C13" s="28" t="s">
        <v>42</v>
      </c>
      <c r="D13" s="157">
        <v>103</v>
      </c>
      <c r="E13" s="158">
        <v>4</v>
      </c>
      <c r="F13" s="157"/>
      <c r="G13" s="157"/>
    </row>
    <row r="14" spans="1:10" ht="21.75" customHeight="1">
      <c r="A14" s="84">
        <v>4.2</v>
      </c>
      <c r="B14" s="140" t="s">
        <v>52</v>
      </c>
      <c r="C14" s="116" t="s">
        <v>42</v>
      </c>
      <c r="D14" s="157">
        <v>103</v>
      </c>
      <c r="E14" s="158">
        <v>4</v>
      </c>
      <c r="F14" s="157"/>
      <c r="G14" s="157"/>
    </row>
    <row r="15" spans="1:10" ht="21.75" customHeight="1">
      <c r="A15" s="88">
        <v>5</v>
      </c>
      <c r="B15" s="141" t="s">
        <v>139</v>
      </c>
      <c r="C15" s="144" t="s">
        <v>42</v>
      </c>
      <c r="D15" s="145">
        <f>D6-(D7+D12)</f>
        <v>0</v>
      </c>
      <c r="E15" s="155">
        <f>E6-(E7+E12)</f>
        <v>56</v>
      </c>
      <c r="F15" s="145">
        <f t="shared" ref="F15:G15" si="1">F6-(F7+F12)</f>
        <v>0</v>
      </c>
      <c r="G15" s="145">
        <f t="shared" si="1"/>
        <v>0</v>
      </c>
    </row>
    <row r="16" spans="1:10" ht="21.75" customHeight="1">
      <c r="A16" s="88">
        <v>6</v>
      </c>
      <c r="B16" s="142" t="s">
        <v>136</v>
      </c>
      <c r="C16" s="144" t="s">
        <v>137</v>
      </c>
      <c r="D16" s="157">
        <v>5</v>
      </c>
      <c r="E16" s="158">
        <v>2</v>
      </c>
      <c r="F16" s="157"/>
      <c r="G16" s="157"/>
    </row>
    <row r="17" spans="1:8" ht="21.75" customHeight="1">
      <c r="A17" s="88">
        <v>7</v>
      </c>
      <c r="B17" s="142" t="s">
        <v>141</v>
      </c>
      <c r="C17" s="143" t="s">
        <v>42</v>
      </c>
      <c r="D17" s="157">
        <v>1544</v>
      </c>
      <c r="E17" s="158">
        <v>1108</v>
      </c>
      <c r="F17" s="157"/>
      <c r="G17" s="157"/>
    </row>
    <row r="18" spans="1:8" ht="21.75" customHeight="1">
      <c r="A18" s="88">
        <v>8</v>
      </c>
      <c r="B18" s="142" t="s">
        <v>64</v>
      </c>
      <c r="C18" s="143" t="s">
        <v>42</v>
      </c>
      <c r="D18" s="157">
        <v>150</v>
      </c>
      <c r="E18" s="158">
        <v>354.56</v>
      </c>
      <c r="F18" s="157"/>
      <c r="G18" s="157"/>
    </row>
    <row r="19" spans="1:8" ht="21.75" customHeight="1">
      <c r="A19" s="88">
        <v>9</v>
      </c>
      <c r="B19" s="142" t="s">
        <v>151</v>
      </c>
      <c r="C19" s="144" t="s">
        <v>42</v>
      </c>
      <c r="D19" s="154">
        <f>D18*D16</f>
        <v>750</v>
      </c>
      <c r="E19" s="156">
        <v>709.12</v>
      </c>
      <c r="F19" s="154">
        <f t="shared" ref="F19:G19" si="2">F18*F16</f>
        <v>0</v>
      </c>
      <c r="G19" s="154">
        <f t="shared" si="2"/>
        <v>0</v>
      </c>
      <c r="H19" t="s">
        <v>152</v>
      </c>
    </row>
    <row r="20" spans="1:8" ht="21.75" customHeight="1">
      <c r="A20" s="88">
        <v>10</v>
      </c>
      <c r="B20" s="142" t="s">
        <v>142</v>
      </c>
      <c r="C20" s="143" t="s">
        <v>45</v>
      </c>
      <c r="D20" s="157">
        <v>83</v>
      </c>
      <c r="E20" s="158">
        <v>0</v>
      </c>
      <c r="F20" s="157"/>
      <c r="G20" s="157"/>
    </row>
    <row r="21" spans="1:8" ht="21.75" customHeight="1">
      <c r="A21" s="88">
        <v>11</v>
      </c>
      <c r="B21" s="142" t="s">
        <v>146</v>
      </c>
      <c r="C21" s="143" t="s">
        <v>45</v>
      </c>
      <c r="D21" s="157">
        <v>83</v>
      </c>
      <c r="E21" s="157">
        <v>0</v>
      </c>
      <c r="F21" s="157"/>
      <c r="G21" s="157"/>
    </row>
    <row r="22" spans="1:8" ht="21.75" customHeight="1">
      <c r="A22" s="152"/>
      <c r="B22" s="149"/>
      <c r="C22" s="153"/>
      <c r="D22" s="152"/>
      <c r="E22" s="152"/>
      <c r="F22" s="152"/>
      <c r="G22" s="152"/>
    </row>
    <row r="23" spans="1:8" ht="21.75" customHeight="1">
      <c r="A23" s="152"/>
      <c r="B23" s="149"/>
      <c r="C23" s="153"/>
      <c r="D23" s="152"/>
      <c r="E23" s="152"/>
      <c r="F23" s="152"/>
      <c r="G23" s="152"/>
    </row>
    <row r="25" spans="1:8">
      <c r="B25" s="151" t="s">
        <v>144</v>
      </c>
    </row>
    <row r="26" spans="1:8">
      <c r="A26" s="150" t="s">
        <v>145</v>
      </c>
      <c r="B26" s="148" t="s">
        <v>143</v>
      </c>
    </row>
    <row r="27" spans="1:8">
      <c r="A27" s="150" t="s">
        <v>147</v>
      </c>
      <c r="B27" s="148" t="s">
        <v>148</v>
      </c>
    </row>
  </sheetData>
  <sheetProtection password="EE3E" sheet="1" objects="1" scenarios="1"/>
  <mergeCells count="5">
    <mergeCell ref="B3:B4"/>
    <mergeCell ref="C3:C4"/>
    <mergeCell ref="A1:G1"/>
    <mergeCell ref="A2:G2"/>
    <mergeCell ref="A3:A4"/>
  </mergeCells>
  <conditionalFormatting sqref="E19">
    <cfRule type="cellIs" dxfId="2" priority="3" operator="greaterThan">
      <formula>$E$17</formula>
    </cfRule>
  </conditionalFormatting>
  <conditionalFormatting sqref="F19">
    <cfRule type="cellIs" dxfId="1" priority="2" operator="greaterThan">
      <formula>$F$17</formula>
    </cfRule>
  </conditionalFormatting>
  <conditionalFormatting sqref="G19">
    <cfRule type="cellIs" dxfId="0" priority="1" operator="greaterThan">
      <formula>$G$17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122"/>
  <sheetViews>
    <sheetView zoomScale="90" zoomScaleNormal="90" workbookViewId="0">
      <pane xSplit="2" ySplit="3" topLeftCell="C22" activePane="bottomRight" state="frozen"/>
      <selection pane="topRight" activeCell="F1" sqref="F1"/>
      <selection pane="bottomLeft" activeCell="A3" sqref="A3"/>
      <selection pane="bottomRight" activeCell="C29" sqref="C29"/>
    </sheetView>
  </sheetViews>
  <sheetFormatPr defaultRowHeight="12.75"/>
  <cols>
    <col min="1" max="1" width="38.85546875" style="18" customWidth="1"/>
    <col min="2" max="2" width="14.7109375" style="18" customWidth="1"/>
    <col min="3" max="6" width="15.85546875" style="18" customWidth="1"/>
    <col min="7" max="16384" width="9.140625" style="18"/>
  </cols>
  <sheetData>
    <row r="1" spans="1:6" ht="15">
      <c r="A1" s="164" t="s">
        <v>127</v>
      </c>
      <c r="B1" s="164"/>
      <c r="C1" s="164"/>
      <c r="D1" s="164"/>
      <c r="E1" s="164"/>
      <c r="F1" s="164"/>
    </row>
    <row r="2" spans="1:6" s="109" customFormat="1" ht="15" customHeight="1">
      <c r="A2" s="165" t="s">
        <v>37</v>
      </c>
      <c r="B2" s="165" t="s">
        <v>38</v>
      </c>
      <c r="C2" s="128" t="str">
        <f>'Input sheet'!D3</f>
        <v>Maharashtra</v>
      </c>
      <c r="D2" s="128" t="str">
        <f>'Input sheet'!E3</f>
        <v>Nepal</v>
      </c>
      <c r="E2" s="128" t="str">
        <f>'Input sheet'!F3</f>
        <v>Enter state name</v>
      </c>
      <c r="F2" s="128" t="str">
        <f>'Input sheet'!G3</f>
        <v>Enter state name</v>
      </c>
    </row>
    <row r="3" spans="1:6">
      <c r="A3" s="165"/>
      <c r="B3" s="165"/>
      <c r="C3" s="128" t="str">
        <f>'Input sheet'!D4</f>
        <v>Panchgani</v>
      </c>
      <c r="D3" s="128" t="str">
        <f>'Input sheet'!E4</f>
        <v>Banepa</v>
      </c>
      <c r="E3" s="128" t="str">
        <f>'Input sheet'!F4</f>
        <v>Enter city name</v>
      </c>
      <c r="F3" s="128" t="str">
        <f>'Input sheet'!G4</f>
        <v>Enter city name</v>
      </c>
    </row>
    <row r="4" spans="1:6" ht="15">
      <c r="A4" s="136" t="s">
        <v>39</v>
      </c>
      <c r="B4" s="116" t="s">
        <v>40</v>
      </c>
      <c r="C4" s="82">
        <f>'Input sheet'!D5</f>
        <v>15530</v>
      </c>
      <c r="D4" s="82">
        <f>'Input sheet'!E5</f>
        <v>24764</v>
      </c>
      <c r="E4" s="82">
        <f>'Input sheet'!F5</f>
        <v>0</v>
      </c>
      <c r="F4" s="82">
        <f>'Input sheet'!G5</f>
        <v>0</v>
      </c>
    </row>
    <row r="5" spans="1:6" ht="21" customHeight="1">
      <c r="A5" s="137" t="s">
        <v>41</v>
      </c>
      <c r="B5" s="22" t="s">
        <v>42</v>
      </c>
      <c r="C5" s="83">
        <f>'Input sheet'!D6</f>
        <v>2690</v>
      </c>
      <c r="D5" s="83">
        <f>'Input sheet'!E6</f>
        <v>5540</v>
      </c>
      <c r="E5" s="83">
        <f>'Input sheet'!F6</f>
        <v>0</v>
      </c>
      <c r="F5" s="83">
        <f>'Input sheet'!G6</f>
        <v>0</v>
      </c>
    </row>
    <row r="6" spans="1:6" ht="15.75" customHeight="1">
      <c r="A6" s="23" t="s">
        <v>19</v>
      </c>
      <c r="B6" s="24"/>
      <c r="C6" s="84"/>
      <c r="D6" s="84"/>
      <c r="E6" s="84"/>
      <c r="F6" s="84"/>
    </row>
    <row r="7" spans="1:6" ht="11.25" customHeight="1">
      <c r="A7" s="27"/>
      <c r="B7" s="32"/>
      <c r="C7" s="84"/>
      <c r="D7" s="84"/>
      <c r="E7" s="84"/>
      <c r="F7" s="84"/>
    </row>
    <row r="8" spans="1:6" ht="19.5" customHeight="1">
      <c r="A8" s="25" t="s">
        <v>26</v>
      </c>
      <c r="B8" s="28" t="s">
        <v>42</v>
      </c>
      <c r="C8" s="117">
        <f>'Input sheet'!D7</f>
        <v>2534</v>
      </c>
      <c r="D8" s="117">
        <f>'Input sheet'!E7</f>
        <v>5429</v>
      </c>
      <c r="E8" s="117">
        <f>'Input sheet'!F7</f>
        <v>0</v>
      </c>
      <c r="F8" s="117">
        <f>'Input sheet'!G7</f>
        <v>0</v>
      </c>
    </row>
    <row r="9" spans="1:6" ht="16.5" customHeight="1">
      <c r="A9" s="29" t="s">
        <v>44</v>
      </c>
      <c r="B9" s="30" t="s">
        <v>45</v>
      </c>
      <c r="C9" s="85">
        <f>+C8/C5</f>
        <v>0.94200743494423789</v>
      </c>
      <c r="D9" s="85">
        <f t="shared" ref="D9:F9" si="0">+D8/D5</f>
        <v>0.97996389891696756</v>
      </c>
      <c r="E9" s="85" t="e">
        <f t="shared" si="0"/>
        <v>#DIV/0!</v>
      </c>
      <c r="F9" s="85" t="e">
        <f t="shared" si="0"/>
        <v>#DIV/0!</v>
      </c>
    </row>
    <row r="10" spans="1:6" s="41" customFormat="1" ht="7.5" customHeight="1">
      <c r="A10" s="20"/>
      <c r="B10" s="105"/>
      <c r="C10" s="90"/>
      <c r="D10" s="90"/>
      <c r="E10" s="90"/>
      <c r="F10" s="90"/>
    </row>
    <row r="11" spans="1:6" ht="26.25">
      <c r="A11" s="31" t="s">
        <v>46</v>
      </c>
      <c r="B11" s="30" t="s">
        <v>42</v>
      </c>
      <c r="C11" s="87">
        <f>'Input sheet'!D12</f>
        <v>156</v>
      </c>
      <c r="D11" s="87">
        <f>'Input sheet'!E12</f>
        <v>55</v>
      </c>
      <c r="E11" s="87">
        <f>'Input sheet'!F12</f>
        <v>0</v>
      </c>
      <c r="F11" s="87">
        <f>'Input sheet'!G12</f>
        <v>0</v>
      </c>
    </row>
    <row r="12" spans="1:6" ht="15">
      <c r="A12" s="32" t="s">
        <v>47</v>
      </c>
      <c r="B12" s="24"/>
      <c r="C12" s="85">
        <f t="shared" ref="C12" si="1">+C11/C5</f>
        <v>5.7992565055762078E-2</v>
      </c>
      <c r="D12" s="85">
        <f t="shared" ref="D12:F12" si="2">+D11/D5</f>
        <v>9.9277978339350186E-3</v>
      </c>
      <c r="E12" s="85" t="e">
        <f t="shared" si="2"/>
        <v>#DIV/0!</v>
      </c>
      <c r="F12" s="85" t="e">
        <f t="shared" si="2"/>
        <v>#DIV/0!</v>
      </c>
    </row>
    <row r="13" spans="1:6" s="41" customFormat="1" ht="3.75" customHeight="1">
      <c r="A13" s="32"/>
      <c r="B13" s="32"/>
      <c r="C13" s="90"/>
      <c r="D13" s="90"/>
      <c r="E13" s="90"/>
      <c r="F13" s="90"/>
    </row>
    <row r="14" spans="1:6" ht="15">
      <c r="A14" s="25" t="s">
        <v>13</v>
      </c>
      <c r="B14" s="24"/>
      <c r="C14" s="88">
        <f>'Input sheet'!D15</f>
        <v>0</v>
      </c>
      <c r="D14" s="88">
        <f>'Input sheet'!E15</f>
        <v>56</v>
      </c>
      <c r="E14" s="88">
        <f>'Input sheet'!F15</f>
        <v>0</v>
      </c>
      <c r="F14" s="88">
        <f>'Input sheet'!G15</f>
        <v>0</v>
      </c>
    </row>
    <row r="15" spans="1:6" ht="15.75" customHeight="1">
      <c r="A15" s="33" t="s">
        <v>47</v>
      </c>
      <c r="B15" s="26"/>
      <c r="C15" s="85">
        <f t="shared" ref="C15" si="3">+C14/C5</f>
        <v>0</v>
      </c>
      <c r="D15" s="85">
        <f t="shared" ref="D15:F15" si="4">+D14/D5</f>
        <v>1.0108303249097473E-2</v>
      </c>
      <c r="E15" s="85" t="e">
        <f t="shared" si="4"/>
        <v>#DIV/0!</v>
      </c>
      <c r="F15" s="85" t="e">
        <f t="shared" si="4"/>
        <v>#DIV/0!</v>
      </c>
    </row>
    <row r="16" spans="1:6" s="41" customFormat="1" ht="5.25" customHeight="1">
      <c r="A16" s="106"/>
      <c r="B16" s="107"/>
      <c r="C16" s="90"/>
      <c r="D16" s="90"/>
      <c r="E16" s="90"/>
      <c r="F16" s="90"/>
    </row>
    <row r="17" spans="1:6" ht="15.75" customHeight="1">
      <c r="A17" s="33" t="s">
        <v>48</v>
      </c>
      <c r="B17" s="26"/>
      <c r="C17" s="89">
        <f>+C15+C12+C9</f>
        <v>1</v>
      </c>
      <c r="D17" s="89">
        <f t="shared" ref="D17:F17" si="5">+D15+D12+D9</f>
        <v>1</v>
      </c>
      <c r="E17" s="89" t="e">
        <f t="shared" si="5"/>
        <v>#DIV/0!</v>
      </c>
      <c r="F17" s="89" t="e">
        <f t="shared" si="5"/>
        <v>#DIV/0!</v>
      </c>
    </row>
    <row r="18" spans="1:6" ht="20.25" customHeight="1">
      <c r="A18" s="34" t="s">
        <v>20</v>
      </c>
      <c r="B18" s="26"/>
      <c r="C18" s="88"/>
      <c r="D18" s="88"/>
      <c r="E18" s="88"/>
      <c r="F18" s="88"/>
    </row>
    <row r="19" spans="1:6" ht="20.25" customHeight="1">
      <c r="A19" s="35" t="s">
        <v>6</v>
      </c>
      <c r="B19" s="26"/>
      <c r="C19" s="88"/>
      <c r="D19" s="88"/>
      <c r="E19" s="88"/>
      <c r="F19" s="88"/>
    </row>
    <row r="20" spans="1:6" ht="26.25">
      <c r="A20" s="36" t="s">
        <v>49</v>
      </c>
      <c r="B20" s="26"/>
      <c r="C20" s="87">
        <f>'Input sheet'!D8</f>
        <v>969</v>
      </c>
      <c r="D20" s="87">
        <f>'Input sheet'!E8</f>
        <v>3877.9999999999995</v>
      </c>
      <c r="E20" s="87">
        <f>'Input sheet'!F8</f>
        <v>0</v>
      </c>
      <c r="F20" s="87">
        <f>'Input sheet'!G8</f>
        <v>0</v>
      </c>
    </row>
    <row r="21" spans="1:6" ht="18" customHeight="1">
      <c r="A21" s="33" t="s">
        <v>47</v>
      </c>
      <c r="B21" s="26"/>
      <c r="C21" s="90">
        <f>+IF(C20="na",0,(C20/C8)*C9)</f>
        <v>0.36022304832713753</v>
      </c>
      <c r="D21" s="90">
        <f t="shared" ref="D21:F21" si="6">+IF(D20="na",0,(D20/D8)*D9)</f>
        <v>0.7</v>
      </c>
      <c r="E21" s="90" t="e">
        <f t="shared" si="6"/>
        <v>#DIV/0!</v>
      </c>
      <c r="F21" s="90" t="e">
        <f t="shared" si="6"/>
        <v>#DIV/0!</v>
      </c>
    </row>
    <row r="22" spans="1:6" s="41" customFormat="1" ht="6" customHeight="1">
      <c r="A22" s="106"/>
      <c r="B22" s="107"/>
      <c r="C22" s="90"/>
      <c r="D22" s="90"/>
      <c r="E22" s="90"/>
      <c r="F22" s="90"/>
    </row>
    <row r="23" spans="1:6" ht="18" customHeight="1">
      <c r="A23" s="33" t="s">
        <v>50</v>
      </c>
      <c r="B23" s="26"/>
      <c r="C23" s="87">
        <f>'Input sheet'!D13</f>
        <v>103</v>
      </c>
      <c r="D23" s="87">
        <f>'Input sheet'!E13</f>
        <v>4</v>
      </c>
      <c r="E23" s="87">
        <f>'Input sheet'!F13</f>
        <v>0</v>
      </c>
      <c r="F23" s="87">
        <f>'Input sheet'!G13</f>
        <v>0</v>
      </c>
    </row>
    <row r="24" spans="1:6" ht="18" customHeight="1">
      <c r="A24" s="33" t="s">
        <v>51</v>
      </c>
      <c r="B24" s="26"/>
      <c r="C24" s="92">
        <f>+IF(OR(C11=0,C11="na",C23=0),0, C11/C23)</f>
        <v>1.5145631067961165</v>
      </c>
      <c r="D24" s="92">
        <f t="shared" ref="D24:F24" si="7">+IF(OR(D11=0,D11="na",D23=0),0, D11/D23)</f>
        <v>13.75</v>
      </c>
      <c r="E24" s="92">
        <f t="shared" si="7"/>
        <v>0</v>
      </c>
      <c r="F24" s="92">
        <f t="shared" si="7"/>
        <v>0</v>
      </c>
    </row>
    <row r="25" spans="1:6" ht="26.25">
      <c r="A25" s="36" t="s">
        <v>52</v>
      </c>
      <c r="B25" s="26"/>
      <c r="C25" s="87">
        <f>'Input sheet'!D14</f>
        <v>103</v>
      </c>
      <c r="D25" s="87">
        <f>'Input sheet'!E14</f>
        <v>4</v>
      </c>
      <c r="E25" s="87">
        <f>'Input sheet'!F14</f>
        <v>0</v>
      </c>
      <c r="F25" s="87">
        <f>'Input sheet'!G14</f>
        <v>0</v>
      </c>
    </row>
    <row r="26" spans="1:6" ht="26.25">
      <c r="A26" s="36" t="s">
        <v>53</v>
      </c>
      <c r="B26" s="26"/>
      <c r="C26" s="92">
        <f>IF(OR(C25="na",C25=0),0, C25*C24)</f>
        <v>156</v>
      </c>
      <c r="D26" s="92">
        <f t="shared" ref="D26:F26" si="8">IF(OR(D25="na",D25=0),0, D25*D24)</f>
        <v>55</v>
      </c>
      <c r="E26" s="92">
        <f t="shared" si="8"/>
        <v>0</v>
      </c>
      <c r="F26" s="92">
        <f t="shared" si="8"/>
        <v>0</v>
      </c>
    </row>
    <row r="27" spans="1:6" ht="15">
      <c r="A27" s="36" t="s">
        <v>54</v>
      </c>
      <c r="B27" s="26"/>
      <c r="C27" s="85">
        <f>IF(C26=0,0,(C26/C11)*C12)</f>
        <v>5.7992565055762078E-2</v>
      </c>
      <c r="D27" s="85">
        <f t="shared" ref="D27:F27" si="9">IF(D26=0,0,(D26/D11)*D12)</f>
        <v>9.9277978339350186E-3</v>
      </c>
      <c r="E27" s="85">
        <f t="shared" si="9"/>
        <v>0</v>
      </c>
      <c r="F27" s="85">
        <f t="shared" si="9"/>
        <v>0</v>
      </c>
    </row>
    <row r="28" spans="1:6" s="41" customFormat="1" ht="9" customHeight="1">
      <c r="A28" s="108"/>
      <c r="B28" s="107"/>
      <c r="C28" s="90"/>
      <c r="D28" s="90"/>
      <c r="E28" s="90"/>
      <c r="F28" s="90"/>
    </row>
    <row r="29" spans="1:6" ht="15">
      <c r="A29" s="36" t="s">
        <v>55</v>
      </c>
      <c r="B29" s="26"/>
      <c r="C29" s="86">
        <f>+C27+C21</f>
        <v>0.41821561338289959</v>
      </c>
      <c r="D29" s="86">
        <f t="shared" ref="D29:F29" si="10">+D27+D21</f>
        <v>0.709927797833935</v>
      </c>
      <c r="E29" s="86" t="e">
        <f t="shared" si="10"/>
        <v>#DIV/0!</v>
      </c>
      <c r="F29" s="86" t="e">
        <f t="shared" si="10"/>
        <v>#DIV/0!</v>
      </c>
    </row>
    <row r="30" spans="1:6" ht="18" customHeight="1">
      <c r="A30" s="35" t="s">
        <v>56</v>
      </c>
      <c r="B30" s="26"/>
      <c r="C30" s="85"/>
      <c r="D30" s="85"/>
      <c r="E30" s="85"/>
      <c r="F30" s="85"/>
    </row>
    <row r="31" spans="1:6" ht="18" customHeight="1">
      <c r="A31" s="37" t="s">
        <v>57</v>
      </c>
      <c r="B31" s="26"/>
      <c r="C31" s="85"/>
      <c r="D31" s="85"/>
      <c r="E31" s="85"/>
      <c r="F31" s="85"/>
    </row>
    <row r="32" spans="1:6" ht="14.25" customHeight="1">
      <c r="A32" s="33" t="s">
        <v>58</v>
      </c>
      <c r="B32" s="26"/>
      <c r="C32" s="87">
        <f>'Input sheet'!D9</f>
        <v>1565</v>
      </c>
      <c r="D32" s="87">
        <f>'Input sheet'!E9</f>
        <v>1108</v>
      </c>
      <c r="E32" s="87">
        <f>'Input sheet'!F9</f>
        <v>0</v>
      </c>
      <c r="F32" s="87">
        <f>'Input sheet'!G9</f>
        <v>0</v>
      </c>
    </row>
    <row r="33" spans="1:6" ht="14.25" customHeight="1">
      <c r="A33" s="33" t="s">
        <v>47</v>
      </c>
      <c r="B33" s="26"/>
      <c r="C33" s="90">
        <f>+(C32/C8)*C9</f>
        <v>0.5817843866171003</v>
      </c>
      <c r="D33" s="90">
        <f t="shared" ref="D33:F33" si="11">+(D32/D8)*D9</f>
        <v>0.2</v>
      </c>
      <c r="E33" s="90" t="e">
        <f t="shared" si="11"/>
        <v>#DIV/0!</v>
      </c>
      <c r="F33" s="90" t="e">
        <f t="shared" si="11"/>
        <v>#DIV/0!</v>
      </c>
    </row>
    <row r="34" spans="1:6" ht="16.5" hidden="1" customHeight="1">
      <c r="A34" s="33"/>
      <c r="B34" s="26"/>
      <c r="C34" s="90"/>
      <c r="D34" s="90"/>
      <c r="E34" s="90"/>
      <c r="F34" s="90"/>
    </row>
    <row r="35" spans="1:6" ht="14.25" hidden="1" customHeight="1">
      <c r="A35" s="80"/>
      <c r="B35" s="26"/>
      <c r="C35" s="90"/>
      <c r="D35" s="90"/>
      <c r="E35" s="90"/>
      <c r="F35" s="90"/>
    </row>
    <row r="36" spans="1:6" ht="14.25" hidden="1" customHeight="1">
      <c r="A36" s="80"/>
      <c r="B36" s="26"/>
      <c r="C36" s="93"/>
      <c r="D36" s="93"/>
      <c r="E36" s="93"/>
      <c r="F36" s="93"/>
    </row>
    <row r="37" spans="1:6" ht="7.5" customHeight="1">
      <c r="A37" s="33"/>
      <c r="B37" s="26"/>
      <c r="C37" s="91"/>
      <c r="D37" s="91"/>
      <c r="E37" s="91"/>
      <c r="F37" s="91"/>
    </row>
    <row r="38" spans="1:6" ht="26.25">
      <c r="A38" s="36" t="s">
        <v>59</v>
      </c>
      <c r="B38" s="26"/>
      <c r="C38" s="94">
        <f t="shared" ref="C38" si="12">+C11-C26</f>
        <v>0</v>
      </c>
      <c r="D38" s="94">
        <f t="shared" ref="D38:F38" si="13">+D11-D26</f>
        <v>0</v>
      </c>
      <c r="E38" s="94">
        <f t="shared" si="13"/>
        <v>0</v>
      </c>
      <c r="F38" s="94">
        <f t="shared" si="13"/>
        <v>0</v>
      </c>
    </row>
    <row r="39" spans="1:6" ht="15">
      <c r="A39" s="36" t="s">
        <v>47</v>
      </c>
      <c r="B39" s="26"/>
      <c r="C39" s="85">
        <f>IF(C38=0,0,(C38/C11)*C12)</f>
        <v>0</v>
      </c>
      <c r="D39" s="85">
        <f t="shared" ref="D39:F39" si="14">IF(D38=0,0,(D38/D11)*D12)</f>
        <v>0</v>
      </c>
      <c r="E39" s="85">
        <f t="shared" si="14"/>
        <v>0</v>
      </c>
      <c r="F39" s="85">
        <f t="shared" si="14"/>
        <v>0</v>
      </c>
    </row>
    <row r="40" spans="1:6" s="41" customFormat="1" ht="9" customHeight="1">
      <c r="A40" s="108"/>
      <c r="B40" s="107"/>
      <c r="C40" s="90"/>
      <c r="D40" s="90"/>
      <c r="E40" s="90"/>
      <c r="F40" s="90"/>
    </row>
    <row r="41" spans="1:6" ht="15">
      <c r="A41" s="36" t="s">
        <v>55</v>
      </c>
      <c r="B41" s="26"/>
      <c r="C41" s="86">
        <f>+C33+C39</f>
        <v>0.5817843866171003</v>
      </c>
      <c r="D41" s="86">
        <f t="shared" ref="D41:F41" si="15">+D33+D39</f>
        <v>0.2</v>
      </c>
      <c r="E41" s="86" t="e">
        <f t="shared" si="15"/>
        <v>#DIV/0!</v>
      </c>
      <c r="F41" s="86" t="e">
        <f t="shared" si="15"/>
        <v>#DIV/0!</v>
      </c>
    </row>
    <row r="42" spans="1:6" ht="15">
      <c r="A42" s="38" t="s">
        <v>11</v>
      </c>
      <c r="B42" s="26"/>
      <c r="C42" s="94"/>
      <c r="D42" s="94"/>
      <c r="E42" s="94"/>
      <c r="F42" s="94"/>
    </row>
    <row r="43" spans="1:6" ht="14.25" customHeight="1">
      <c r="A43" s="33" t="s">
        <v>60</v>
      </c>
      <c r="B43" s="26"/>
      <c r="C43" s="87">
        <f>'Input sheet'!D10</f>
        <v>0</v>
      </c>
      <c r="D43" s="87">
        <f>'Input sheet'!E10</f>
        <v>443</v>
      </c>
      <c r="E43" s="87">
        <f>'Input sheet'!F10</f>
        <v>0</v>
      </c>
      <c r="F43" s="87">
        <f>'Input sheet'!G10</f>
        <v>0</v>
      </c>
    </row>
    <row r="44" spans="1:6" ht="14.25" customHeight="1">
      <c r="A44" s="33" t="s">
        <v>47</v>
      </c>
      <c r="B44" s="26"/>
      <c r="C44" s="95">
        <f>+(C43/C8)*C9</f>
        <v>0</v>
      </c>
      <c r="D44" s="95">
        <f t="shared" ref="D44:F44" si="16">+(D43/D8)*D9</f>
        <v>7.9963898916967507E-2</v>
      </c>
      <c r="E44" s="95" t="e">
        <f t="shared" si="16"/>
        <v>#DIV/0!</v>
      </c>
      <c r="F44" s="95" t="e">
        <f t="shared" si="16"/>
        <v>#DIV/0!</v>
      </c>
    </row>
    <row r="45" spans="1:6" s="41" customFormat="1" ht="8.25" customHeight="1">
      <c r="A45" s="106"/>
      <c r="B45" s="107"/>
      <c r="C45" s="90"/>
      <c r="D45" s="90"/>
      <c r="E45" s="90"/>
      <c r="F45" s="90"/>
    </row>
    <row r="46" spans="1:6" ht="14.25" customHeight="1">
      <c r="A46" s="21" t="s">
        <v>61</v>
      </c>
      <c r="B46" s="26"/>
      <c r="C46" s="95"/>
      <c r="D46" s="95"/>
      <c r="E46" s="95"/>
      <c r="F46" s="95"/>
    </row>
    <row r="47" spans="1:6" ht="14.25" customHeight="1">
      <c r="A47" s="33" t="s">
        <v>62</v>
      </c>
      <c r="B47" s="26"/>
      <c r="C47" s="87">
        <f>'Input sheet'!D11</f>
        <v>0</v>
      </c>
      <c r="D47" s="87">
        <f>'Input sheet'!E11</f>
        <v>0</v>
      </c>
      <c r="E47" s="87">
        <f>'Input sheet'!F11</f>
        <v>0</v>
      </c>
      <c r="F47" s="87">
        <f>'Input sheet'!G11</f>
        <v>0</v>
      </c>
    </row>
    <row r="48" spans="1:6" ht="14.25" customHeight="1">
      <c r="A48" s="33" t="s">
        <v>47</v>
      </c>
      <c r="B48" s="26"/>
      <c r="C48" s="95">
        <f>+(C47/C8)*C9</f>
        <v>0</v>
      </c>
      <c r="D48" s="95">
        <f t="shared" ref="D48:F48" si="17">+(D47/D8)*D9</f>
        <v>0</v>
      </c>
      <c r="E48" s="95" t="e">
        <f t="shared" si="17"/>
        <v>#DIV/0!</v>
      </c>
      <c r="F48" s="95" t="e">
        <f t="shared" si="17"/>
        <v>#DIV/0!</v>
      </c>
    </row>
    <row r="49" spans="1:6" s="41" customFormat="1" ht="7.5" customHeight="1">
      <c r="A49" s="106"/>
      <c r="B49" s="107"/>
      <c r="C49" s="90"/>
      <c r="D49" s="90"/>
      <c r="E49" s="90"/>
      <c r="F49" s="90"/>
    </row>
    <row r="50" spans="1:6" ht="20.25" customHeight="1">
      <c r="A50" s="34" t="s">
        <v>63</v>
      </c>
      <c r="B50" s="26"/>
      <c r="C50" s="88"/>
      <c r="D50" s="88"/>
      <c r="E50" s="88"/>
      <c r="F50" s="88"/>
    </row>
    <row r="51" spans="1:6" ht="15">
      <c r="A51" s="35" t="s">
        <v>56</v>
      </c>
      <c r="B51" s="24"/>
      <c r="C51" s="89"/>
      <c r="D51" s="89"/>
      <c r="E51" s="89"/>
      <c r="F51" s="89"/>
    </row>
    <row r="52" spans="1:6" ht="15">
      <c r="A52" s="37" t="s">
        <v>1</v>
      </c>
      <c r="B52" s="24"/>
      <c r="C52" s="89"/>
      <c r="D52" s="89"/>
      <c r="E52" s="89"/>
      <c r="F52" s="89"/>
    </row>
    <row r="53" spans="1:6" ht="15">
      <c r="A53" s="39" t="s">
        <v>140</v>
      </c>
      <c r="B53" s="24"/>
      <c r="C53" s="118">
        <f>'Input sheet'!D16*'Input sheet'!D18</f>
        <v>750</v>
      </c>
      <c r="D53" s="118">
        <f>'Input sheet'!E16*'Input sheet'!E18</f>
        <v>709.12</v>
      </c>
      <c r="E53" s="118">
        <f>'Input sheet'!F16*'Input sheet'!F18</f>
        <v>0</v>
      </c>
      <c r="F53" s="118">
        <f>'Input sheet'!G16*'Input sheet'!G18</f>
        <v>0</v>
      </c>
    </row>
    <row r="54" spans="1:6" ht="15">
      <c r="A54" s="39" t="s">
        <v>128</v>
      </c>
      <c r="B54" s="24"/>
      <c r="C54" s="118">
        <f>'Input sheet'!D17</f>
        <v>1544</v>
      </c>
      <c r="D54" s="118">
        <f>'Input sheet'!E17</f>
        <v>1108</v>
      </c>
      <c r="E54" s="118">
        <f>'Input sheet'!F17</f>
        <v>0</v>
      </c>
      <c r="F54" s="118">
        <f>'Input sheet'!G17</f>
        <v>0</v>
      </c>
    </row>
    <row r="55" spans="1:6" s="41" customFormat="1" ht="15">
      <c r="A55" s="32"/>
      <c r="B55" s="32"/>
      <c r="C55" s="119">
        <f>IF(AND(C53=0,C54=0),0, C53/C54)</f>
        <v>0.48575129533678757</v>
      </c>
      <c r="D55" s="119">
        <f t="shared" ref="D55:F55" si="18">IF(AND(D53=0,D54=0),0, D53/D54)</f>
        <v>0.64</v>
      </c>
      <c r="E55" s="119">
        <f t="shared" si="18"/>
        <v>0</v>
      </c>
      <c r="F55" s="119">
        <f t="shared" si="18"/>
        <v>0</v>
      </c>
    </row>
    <row r="56" spans="1:6" ht="15">
      <c r="A56" s="24" t="s">
        <v>113</v>
      </c>
      <c r="B56" s="24" t="s">
        <v>65</v>
      </c>
      <c r="C56" s="86">
        <f t="shared" ref="C56" si="19">+(C41*(C55))</f>
        <v>0.28260251940597492</v>
      </c>
      <c r="D56" s="86">
        <f t="shared" ref="D56:F56" si="20">+(D41*(D55))</f>
        <v>0.128</v>
      </c>
      <c r="E56" s="86" t="e">
        <f t="shared" si="20"/>
        <v>#DIV/0!</v>
      </c>
      <c r="F56" s="86" t="e">
        <f t="shared" si="20"/>
        <v>#DIV/0!</v>
      </c>
    </row>
    <row r="57" spans="1:6" ht="15">
      <c r="A57" s="40"/>
      <c r="B57" s="24" t="s">
        <v>66</v>
      </c>
      <c r="C57" s="86">
        <f t="shared" ref="C57" si="21">+C41-C56</f>
        <v>0.29918186721112539</v>
      </c>
      <c r="D57" s="86">
        <f t="shared" ref="D57:F57" si="22">+D41-D56</f>
        <v>7.2000000000000008E-2</v>
      </c>
      <c r="E57" s="86" t="e">
        <f t="shared" si="22"/>
        <v>#DIV/0!</v>
      </c>
      <c r="F57" s="86" t="e">
        <f t="shared" si="22"/>
        <v>#DIV/0!</v>
      </c>
    </row>
    <row r="58" spans="1:6" ht="26.25">
      <c r="A58" s="19" t="s">
        <v>61</v>
      </c>
      <c r="B58" s="39" t="s">
        <v>67</v>
      </c>
      <c r="C58" s="86">
        <f>+C48</f>
        <v>0</v>
      </c>
      <c r="D58" s="86">
        <f t="shared" ref="D58:F58" si="23">+D48</f>
        <v>0</v>
      </c>
      <c r="E58" s="86" t="e">
        <f t="shared" si="23"/>
        <v>#DIV/0!</v>
      </c>
      <c r="F58" s="86" t="e">
        <f t="shared" si="23"/>
        <v>#DIV/0!</v>
      </c>
    </row>
    <row r="59" spans="1:6" ht="15">
      <c r="A59" s="42" t="s">
        <v>11</v>
      </c>
      <c r="B59" s="24" t="s">
        <v>68</v>
      </c>
      <c r="C59" s="86">
        <f>+C44</f>
        <v>0</v>
      </c>
      <c r="D59" s="86">
        <f t="shared" ref="D59:F59" si="24">+D44</f>
        <v>7.9963898916967507E-2</v>
      </c>
      <c r="E59" s="86" t="e">
        <f t="shared" si="24"/>
        <v>#DIV/0!</v>
      </c>
      <c r="F59" s="86" t="e">
        <f t="shared" si="24"/>
        <v>#DIV/0!</v>
      </c>
    </row>
    <row r="60" spans="1:6" ht="10.5" customHeight="1">
      <c r="A60" s="24"/>
      <c r="B60" s="24"/>
      <c r="C60" s="84"/>
      <c r="D60" s="84"/>
      <c r="E60" s="84"/>
      <c r="F60" s="84"/>
    </row>
    <row r="61" spans="1:6" ht="20.25" customHeight="1">
      <c r="A61" s="34" t="s">
        <v>21</v>
      </c>
      <c r="B61" s="26"/>
      <c r="C61" s="88"/>
      <c r="D61" s="88"/>
      <c r="E61" s="88"/>
      <c r="F61" s="88"/>
    </row>
    <row r="62" spans="1:6" ht="16.5" customHeight="1">
      <c r="A62" s="35" t="s">
        <v>6</v>
      </c>
      <c r="B62" s="24" t="s">
        <v>69</v>
      </c>
      <c r="C62" s="86">
        <f>+C21+C27</f>
        <v>0.41821561338289959</v>
      </c>
      <c r="D62" s="86">
        <f t="shared" ref="D62:F62" si="25">+D21+D27</f>
        <v>0.709927797833935</v>
      </c>
      <c r="E62" s="86" t="e">
        <f t="shared" si="25"/>
        <v>#DIV/0!</v>
      </c>
      <c r="F62" s="86" t="e">
        <f t="shared" si="25"/>
        <v>#DIV/0!</v>
      </c>
    </row>
    <row r="63" spans="1:6" ht="7.5" customHeight="1">
      <c r="A63" s="37"/>
      <c r="B63" s="24"/>
      <c r="C63" s="84"/>
      <c r="D63" s="84"/>
      <c r="E63" s="84"/>
      <c r="F63" s="84"/>
    </row>
    <row r="64" spans="1:6" ht="16.5" hidden="1" customHeight="1">
      <c r="A64" s="35" t="s">
        <v>70</v>
      </c>
      <c r="B64" s="24"/>
      <c r="C64" s="84"/>
      <c r="D64" s="84"/>
      <c r="E64" s="84"/>
      <c r="F64" s="84"/>
    </row>
    <row r="65" spans="1:6" ht="15" hidden="1">
      <c r="A65" s="24"/>
      <c r="C65" s="97"/>
      <c r="D65" s="97"/>
      <c r="E65" s="97"/>
      <c r="F65" s="97"/>
    </row>
    <row r="66" spans="1:6" ht="26.25" hidden="1">
      <c r="A66" s="39" t="s">
        <v>71</v>
      </c>
      <c r="B66" s="24"/>
      <c r="C66" s="98"/>
      <c r="D66" s="98"/>
      <c r="E66" s="98"/>
      <c r="F66" s="98"/>
    </row>
    <row r="67" spans="1:6" ht="15" hidden="1">
      <c r="A67" s="39" t="s">
        <v>47</v>
      </c>
      <c r="B67" s="24"/>
      <c r="C67" s="98"/>
      <c r="D67" s="98"/>
      <c r="E67" s="98"/>
      <c r="F67" s="98"/>
    </row>
    <row r="68" spans="1:6" ht="51.75" hidden="1">
      <c r="A68" s="39" t="s">
        <v>43</v>
      </c>
      <c r="B68" s="39" t="s">
        <v>72</v>
      </c>
      <c r="C68" s="97"/>
      <c r="D68" s="97"/>
      <c r="E68" s="97"/>
      <c r="F68" s="97"/>
    </row>
    <row r="69" spans="1:6" ht="15" hidden="1">
      <c r="A69" s="39"/>
      <c r="B69" s="24"/>
      <c r="C69" s="97"/>
      <c r="D69" s="97"/>
      <c r="E69" s="97"/>
      <c r="F69" s="97"/>
    </row>
    <row r="70" spans="1:6" ht="26.25" hidden="1">
      <c r="A70" s="39" t="s">
        <v>73</v>
      </c>
      <c r="B70" s="24"/>
      <c r="C70" s="98"/>
      <c r="D70" s="98"/>
      <c r="E70" s="98"/>
      <c r="F70" s="98"/>
    </row>
    <row r="71" spans="1:6" ht="18" hidden="1" customHeight="1">
      <c r="A71" s="24" t="s">
        <v>47</v>
      </c>
      <c r="B71" s="24"/>
      <c r="C71" s="98"/>
      <c r="D71" s="98"/>
      <c r="E71" s="98"/>
      <c r="F71" s="98"/>
    </row>
    <row r="72" spans="1:6" ht="39" hidden="1">
      <c r="A72" s="43" t="s">
        <v>43</v>
      </c>
      <c r="B72" s="39" t="s">
        <v>74</v>
      </c>
      <c r="C72" s="100"/>
      <c r="D72" s="100"/>
      <c r="E72" s="100"/>
      <c r="F72" s="100"/>
    </row>
    <row r="73" spans="1:6" ht="15" hidden="1">
      <c r="A73" s="24"/>
      <c r="B73" s="24"/>
      <c r="C73" s="98"/>
      <c r="D73" s="98"/>
      <c r="E73" s="98"/>
      <c r="F73" s="98"/>
    </row>
    <row r="74" spans="1:6" ht="26.25" hidden="1">
      <c r="A74" s="39" t="s">
        <v>75</v>
      </c>
      <c r="B74" s="39" t="s">
        <v>5</v>
      </c>
      <c r="C74" s="99"/>
      <c r="D74" s="99"/>
      <c r="E74" s="99"/>
      <c r="F74" s="99"/>
    </row>
    <row r="75" spans="1:6" ht="25.5" customHeight="1">
      <c r="A75" s="34" t="s">
        <v>23</v>
      </c>
      <c r="B75" s="24"/>
      <c r="C75" s="84"/>
      <c r="D75" s="84"/>
      <c r="E75" s="84"/>
      <c r="F75" s="84"/>
    </row>
    <row r="76" spans="1:6" ht="15">
      <c r="A76" s="35" t="s">
        <v>76</v>
      </c>
      <c r="B76" s="24"/>
      <c r="C76" s="84"/>
      <c r="D76" s="84"/>
      <c r="E76" s="84"/>
      <c r="F76" s="84"/>
    </row>
    <row r="77" spans="1:6" s="104" customFormat="1" ht="15">
      <c r="A77" s="36" t="s">
        <v>77</v>
      </c>
      <c r="B77" s="26"/>
      <c r="C77" s="120">
        <f>'Input sheet'!D20</f>
        <v>83</v>
      </c>
      <c r="D77" s="120">
        <f>'Input sheet'!E20</f>
        <v>0</v>
      </c>
      <c r="E77" s="120">
        <f>'Input sheet'!F20</f>
        <v>0</v>
      </c>
      <c r="F77" s="120">
        <f>'Input sheet'!G20</f>
        <v>0</v>
      </c>
    </row>
    <row r="78" spans="1:6" s="104" customFormat="1" ht="15">
      <c r="A78" s="33" t="s">
        <v>43</v>
      </c>
      <c r="B78" s="26" t="s">
        <v>78</v>
      </c>
      <c r="C78" s="121">
        <f>+IF(OR(C77="na"),0,IF(C77&gt;100,C62,(C77/100)*C62))</f>
        <v>0.34711895910780666</v>
      </c>
      <c r="D78" s="121">
        <f>+IF(OR(D77="na"),0,IF(D77&gt;100,D62,(D77/100)*D62))</f>
        <v>0</v>
      </c>
      <c r="E78" s="121" t="e">
        <f>+IF(OR(E77="na"),0,IF(E77&gt;100,E62,(E77/100)*E62))</f>
        <v>#DIV/0!</v>
      </c>
      <c r="F78" s="121" t="e">
        <f>+IF(OR(F77="na"),0,IF(F77&gt;100,F62,(F77/100)*F62))</f>
        <v>#DIV/0!</v>
      </c>
    </row>
    <row r="79" spans="1:6" s="104" customFormat="1" ht="15">
      <c r="A79" s="33"/>
      <c r="B79" s="26" t="s">
        <v>79</v>
      </c>
      <c r="C79" s="121">
        <f>+C62-C78</f>
        <v>7.109665427509293E-2</v>
      </c>
      <c r="D79" s="121">
        <f>+D62-D78</f>
        <v>0.709927797833935</v>
      </c>
      <c r="E79" s="121" t="e">
        <f>+E62-E78</f>
        <v>#DIV/0!</v>
      </c>
      <c r="F79" s="121" t="e">
        <f>+F62-F78</f>
        <v>#DIV/0!</v>
      </c>
    </row>
    <row r="80" spans="1:6" s="104" customFormat="1" ht="15">
      <c r="A80" s="35" t="s">
        <v>80</v>
      </c>
      <c r="B80" s="26"/>
      <c r="C80" s="84"/>
      <c r="D80" s="84"/>
      <c r="E80" s="84"/>
      <c r="F80" s="84"/>
    </row>
    <row r="81" spans="1:6" s="104" customFormat="1" ht="15">
      <c r="A81" s="36" t="s">
        <v>81</v>
      </c>
      <c r="B81" s="26"/>
      <c r="C81" s="122">
        <f>'Input sheet'!D21</f>
        <v>83</v>
      </c>
      <c r="D81" s="122">
        <f>'Input sheet'!E21</f>
        <v>0</v>
      </c>
      <c r="E81" s="122">
        <f>'Input sheet'!F21</f>
        <v>0</v>
      </c>
      <c r="F81" s="122">
        <f>'Input sheet'!G21</f>
        <v>0</v>
      </c>
    </row>
    <row r="82" spans="1:6" s="104" customFormat="1" ht="15">
      <c r="A82" s="33" t="s">
        <v>82</v>
      </c>
      <c r="B82" s="26" t="s">
        <v>83</v>
      </c>
      <c r="C82" s="123">
        <f>+IF(OR(C81="na",C81=0),"0",IF(C81&gt;100,C56,(C81/100)*C56))</f>
        <v>0.23456009110695916</v>
      </c>
      <c r="D82" s="123" t="str">
        <f>+IF(OR(D81="na",D81=0),"0",IF(D81&gt;100,D56,(D81/100)*D56))</f>
        <v>0</v>
      </c>
      <c r="E82" s="123" t="str">
        <f>+IF(OR(E81="na",E81=0),"0",IF(E81&gt;100,E56,(E81/100)*E56))</f>
        <v>0</v>
      </c>
      <c r="F82" s="123" t="str">
        <f>+IF(OR(F81="na",F81=0),"0",IF(F81&gt;100,F56,(F81/100)*F56))</f>
        <v>0</v>
      </c>
    </row>
    <row r="83" spans="1:6" s="104" customFormat="1" ht="15">
      <c r="A83" s="33"/>
      <c r="B83" s="26" t="s">
        <v>79</v>
      </c>
      <c r="C83" s="121">
        <f>+IF(OR(C82="na",C82=0),"na",C56-C82)</f>
        <v>4.8042428299015755E-2</v>
      </c>
      <c r="D83" s="121">
        <f>+IF(OR(D82="na",D82=0),"na",D56-D82)</f>
        <v>0.128</v>
      </c>
      <c r="E83" s="121" t="e">
        <f>+IF(OR(E82="na",E82=0),"na",E56-E82)</f>
        <v>#DIV/0!</v>
      </c>
      <c r="F83" s="121" t="e">
        <f>+IF(OR(F82="na",F82=0),"na",F56-F82)</f>
        <v>#DIV/0!</v>
      </c>
    </row>
    <row r="84" spans="1:6" ht="15" hidden="1">
      <c r="A84" s="35" t="s">
        <v>84</v>
      </c>
      <c r="B84" s="24"/>
      <c r="C84" s="84"/>
      <c r="D84" s="84"/>
      <c r="E84" s="84"/>
      <c r="F84" s="84"/>
    </row>
    <row r="85" spans="1:6" ht="26.25" hidden="1">
      <c r="A85" s="36" t="s">
        <v>85</v>
      </c>
      <c r="B85" s="24"/>
      <c r="C85" s="124"/>
      <c r="D85" s="124"/>
      <c r="E85" s="124"/>
      <c r="F85" s="124"/>
    </row>
    <row r="86" spans="1:6" ht="15" hidden="1">
      <c r="A86" s="33" t="s">
        <v>43</v>
      </c>
      <c r="B86" s="24" t="s">
        <v>83</v>
      </c>
      <c r="C86" s="125"/>
      <c r="D86" s="125"/>
      <c r="E86" s="125"/>
      <c r="F86" s="125"/>
    </row>
    <row r="87" spans="1:6" ht="15" hidden="1">
      <c r="A87" s="24"/>
      <c r="B87" s="24" t="s">
        <v>79</v>
      </c>
      <c r="C87" s="93"/>
      <c r="D87" s="93"/>
      <c r="E87" s="93"/>
      <c r="F87" s="93"/>
    </row>
    <row r="88" spans="1:6" ht="15">
      <c r="C88"/>
      <c r="D88"/>
      <c r="E88"/>
      <c r="F88"/>
    </row>
    <row r="89" spans="1:6" ht="15">
      <c r="C89"/>
      <c r="D89"/>
      <c r="E89"/>
      <c r="F89"/>
    </row>
    <row r="90" spans="1:6" ht="24.75">
      <c r="B90" s="129" t="s">
        <v>123</v>
      </c>
      <c r="C90" s="126">
        <f>C82+C78+C58</f>
        <v>0.58167905021476585</v>
      </c>
      <c r="D90" s="126">
        <f>D82+D78+D58</f>
        <v>0</v>
      </c>
      <c r="E90" s="126" t="e">
        <f>E82+E78+E58</f>
        <v>#DIV/0!</v>
      </c>
      <c r="F90" s="126" t="e">
        <f>F82+F78+F58</f>
        <v>#DIV/0!</v>
      </c>
    </row>
    <row r="91" spans="1:6" ht="15" hidden="1">
      <c r="B91" s="130" t="e">
        <f>+#REF!</f>
        <v>#REF!</v>
      </c>
      <c r="C91" t="str">
        <f>+D3</f>
        <v>Banepa</v>
      </c>
      <c r="D91" t="str">
        <f>+E3</f>
        <v>Enter city name</v>
      </c>
      <c r="E91" t="str">
        <f>+F3</f>
        <v>Enter city name</v>
      </c>
      <c r="F91">
        <f>+G3</f>
        <v>0</v>
      </c>
    </row>
    <row r="92" spans="1:6" ht="15" hidden="1">
      <c r="A92" s="24" t="s">
        <v>0</v>
      </c>
      <c r="B92" s="131" t="e">
        <f>+#REF!</f>
        <v>#REF!</v>
      </c>
      <c r="C92" s="96">
        <f>+D73</f>
        <v>0</v>
      </c>
      <c r="D92" s="96">
        <f t="shared" ref="D92:F92" si="26">+E73</f>
        <v>0</v>
      </c>
      <c r="E92" s="96">
        <f t="shared" si="26"/>
        <v>0</v>
      </c>
      <c r="F92" s="96">
        <f t="shared" si="26"/>
        <v>0</v>
      </c>
    </row>
    <row r="93" spans="1:6" ht="15" hidden="1">
      <c r="A93" s="24" t="s">
        <v>0</v>
      </c>
      <c r="B93" s="131" t="e">
        <f>+#REF!</f>
        <v>#REF!</v>
      </c>
      <c r="C93" s="96" t="e">
        <f>+#REF!</f>
        <v>#REF!</v>
      </c>
      <c r="D93" s="96" t="e">
        <f>+#REF!</f>
        <v>#REF!</v>
      </c>
      <c r="E93" s="96" t="e">
        <f>+#REF!</f>
        <v>#REF!</v>
      </c>
      <c r="F93" s="96" t="e">
        <f>+#REF!</f>
        <v>#REF!</v>
      </c>
    </row>
    <row r="94" spans="1:6" ht="15" hidden="1">
      <c r="A94" s="24" t="s">
        <v>0</v>
      </c>
      <c r="B94" s="131" t="e">
        <f>+#REF!</f>
        <v>#REF!</v>
      </c>
      <c r="C94" s="96" t="e">
        <f>+#REF!</f>
        <v>#REF!</v>
      </c>
      <c r="D94" s="96" t="e">
        <f>+#REF!</f>
        <v>#REF!</v>
      </c>
      <c r="E94" s="96" t="e">
        <f>+#REF!</f>
        <v>#REF!</v>
      </c>
      <c r="F94" s="96" t="e">
        <f>+#REF!</f>
        <v>#REF!</v>
      </c>
    </row>
    <row r="95" spans="1:6" ht="15" hidden="1">
      <c r="A95" s="24"/>
      <c r="B95" s="132"/>
      <c r="C95" s="84"/>
      <c r="D95" s="84"/>
      <c r="E95" s="84"/>
      <c r="F95" s="84"/>
    </row>
    <row r="96" spans="1:6" ht="15" hidden="1">
      <c r="A96" s="24" t="s">
        <v>8</v>
      </c>
      <c r="B96" s="131" t="e">
        <f>+#REF!</f>
        <v>#REF!</v>
      </c>
      <c r="C96" s="96">
        <f>+D22</f>
        <v>0</v>
      </c>
      <c r="D96" s="96">
        <f>+E22</f>
        <v>0</v>
      </c>
      <c r="E96" s="96">
        <f>+F22</f>
        <v>0</v>
      </c>
      <c r="F96" s="96">
        <f>+G22</f>
        <v>0</v>
      </c>
    </row>
    <row r="97" spans="1:6" ht="15" hidden="1">
      <c r="A97" s="24" t="s">
        <v>8</v>
      </c>
      <c r="B97" s="131" t="e">
        <f>+#REF!</f>
        <v>#REF!</v>
      </c>
      <c r="C97" s="96">
        <f>+D34</f>
        <v>0</v>
      </c>
      <c r="D97" s="96">
        <f>+E34</f>
        <v>0</v>
      </c>
      <c r="E97" s="96">
        <f>+F34</f>
        <v>0</v>
      </c>
      <c r="F97" s="96">
        <f>+G34</f>
        <v>0</v>
      </c>
    </row>
    <row r="98" spans="1:6" ht="15" hidden="1">
      <c r="A98" s="24" t="s">
        <v>8</v>
      </c>
      <c r="B98" s="131" t="e">
        <f>+#REF!</f>
        <v>#REF!</v>
      </c>
      <c r="C98" s="96">
        <f>+D49</f>
        <v>0</v>
      </c>
      <c r="D98" s="96">
        <f>+E49</f>
        <v>0</v>
      </c>
      <c r="E98" s="96">
        <f>+F49</f>
        <v>0</v>
      </c>
      <c r="F98" s="96">
        <f>+G49</f>
        <v>0</v>
      </c>
    </row>
    <row r="99" spans="1:6" ht="15" hidden="1">
      <c r="A99" s="24" t="s">
        <v>8</v>
      </c>
      <c r="B99" s="131" t="e">
        <f>+#REF!</f>
        <v>#REF!</v>
      </c>
      <c r="C99" s="96">
        <f>+D45</f>
        <v>0</v>
      </c>
      <c r="D99" s="96">
        <f>+E45</f>
        <v>0</v>
      </c>
      <c r="E99" s="96">
        <f>+F45</f>
        <v>0</v>
      </c>
      <c r="F99" s="96">
        <f>+G45</f>
        <v>0</v>
      </c>
    </row>
    <row r="100" spans="1:6" ht="15" hidden="1">
      <c r="A100" s="24"/>
      <c r="B100" s="132"/>
      <c r="C100" s="84"/>
      <c r="D100" s="84"/>
      <c r="E100" s="84"/>
      <c r="F100" s="84"/>
    </row>
    <row r="101" spans="1:6" ht="15" hidden="1">
      <c r="A101" s="24" t="s">
        <v>12</v>
      </c>
      <c r="B101" s="131" t="e">
        <f>+#REF!</f>
        <v>#REF!</v>
      </c>
      <c r="C101" s="96">
        <f>+D28</f>
        <v>0</v>
      </c>
      <c r="D101" s="96">
        <f>+E28</f>
        <v>0</v>
      </c>
      <c r="E101" s="96">
        <f>+F28</f>
        <v>0</v>
      </c>
      <c r="F101" s="96">
        <f>+G28</f>
        <v>0</v>
      </c>
    </row>
    <row r="102" spans="1:6" ht="15" hidden="1">
      <c r="A102" s="24" t="s">
        <v>12</v>
      </c>
      <c r="B102" s="131" t="e">
        <f>+#REF!</f>
        <v>#REF!</v>
      </c>
      <c r="C102" s="96">
        <f>+D40</f>
        <v>0</v>
      </c>
      <c r="D102" s="96">
        <f>+E40</f>
        <v>0</v>
      </c>
      <c r="E102" s="96">
        <f>+F40</f>
        <v>0</v>
      </c>
      <c r="F102" s="96">
        <f>+G40</f>
        <v>0</v>
      </c>
    </row>
    <row r="103" spans="1:6" ht="15" hidden="1">
      <c r="A103" s="24"/>
      <c r="B103" s="132"/>
      <c r="C103" s="84"/>
      <c r="D103" s="84"/>
      <c r="E103" s="84"/>
      <c r="F103" s="84"/>
    </row>
    <row r="104" spans="1:6" ht="15" hidden="1">
      <c r="A104" s="24" t="s">
        <v>13</v>
      </c>
      <c r="B104" s="131" t="e">
        <f>+#REF!</f>
        <v>#REF!</v>
      </c>
      <c r="C104" s="96">
        <f>+D16</f>
        <v>0</v>
      </c>
      <c r="D104" s="96">
        <f>+E16</f>
        <v>0</v>
      </c>
      <c r="E104" s="96">
        <f>+F16</f>
        <v>0</v>
      </c>
      <c r="F104" s="96">
        <f>+G16</f>
        <v>0</v>
      </c>
    </row>
    <row r="105" spans="1:6" ht="15" hidden="1">
      <c r="A105" s="44"/>
      <c r="B105" s="133"/>
      <c r="C105" s="101"/>
      <c r="D105" s="101"/>
      <c r="E105" s="101"/>
      <c r="F105" s="101"/>
    </row>
    <row r="106" spans="1:6" ht="15" hidden="1">
      <c r="A106" s="24" t="s">
        <v>6</v>
      </c>
      <c r="B106" s="131" t="e">
        <f>+#REF!</f>
        <v>#REF!</v>
      </c>
      <c r="C106" s="96">
        <f>+D29</f>
        <v>0.709927797833935</v>
      </c>
      <c r="D106" s="96" t="e">
        <f>+E29</f>
        <v>#DIV/0!</v>
      </c>
      <c r="E106" s="96" t="e">
        <f>+F29</f>
        <v>#DIV/0!</v>
      </c>
      <c r="F106" s="96">
        <f>+G29</f>
        <v>0</v>
      </c>
    </row>
    <row r="107" spans="1:6" ht="15" hidden="1">
      <c r="A107" s="24" t="s">
        <v>7</v>
      </c>
      <c r="B107" s="131" t="e">
        <f>+#REF!</f>
        <v>#REF!</v>
      </c>
      <c r="C107" s="96">
        <f t="shared" ref="C107:F108" si="27">+D56</f>
        <v>0.128</v>
      </c>
      <c r="D107" s="96" t="e">
        <f t="shared" si="27"/>
        <v>#DIV/0!</v>
      </c>
      <c r="E107" s="96" t="e">
        <f t="shared" si="27"/>
        <v>#DIV/0!</v>
      </c>
      <c r="F107" s="96">
        <f t="shared" si="27"/>
        <v>0</v>
      </c>
    </row>
    <row r="108" spans="1:6" ht="15" hidden="1">
      <c r="A108" s="24" t="s">
        <v>7</v>
      </c>
      <c r="B108" s="131" t="e">
        <f>+#REF!</f>
        <v>#REF!</v>
      </c>
      <c r="C108" s="96">
        <f t="shared" si="27"/>
        <v>7.2000000000000008E-2</v>
      </c>
      <c r="D108" s="96" t="e">
        <f t="shared" si="27"/>
        <v>#DIV/0!</v>
      </c>
      <c r="E108" s="96" t="e">
        <f t="shared" si="27"/>
        <v>#DIV/0!</v>
      </c>
      <c r="F108" s="96">
        <f t="shared" si="27"/>
        <v>0</v>
      </c>
    </row>
    <row r="109" spans="1:6" ht="15" hidden="1">
      <c r="A109" s="24" t="s">
        <v>7</v>
      </c>
      <c r="B109" s="131" t="e">
        <f>+#REF!</f>
        <v>#REF!</v>
      </c>
      <c r="C109" s="96">
        <f>+D71</f>
        <v>0</v>
      </c>
      <c r="D109" s="96">
        <f t="shared" ref="D109:F109" si="28">+E71</f>
        <v>0</v>
      </c>
      <c r="E109" s="96">
        <f t="shared" si="28"/>
        <v>0</v>
      </c>
      <c r="F109" s="96">
        <f t="shared" si="28"/>
        <v>0</v>
      </c>
    </row>
    <row r="110" spans="1:6" ht="15" hidden="1">
      <c r="A110" s="24" t="s">
        <v>7</v>
      </c>
      <c r="B110" s="131" t="e">
        <f>+#REF!</f>
        <v>#REF!</v>
      </c>
      <c r="C110" s="96">
        <f>+D67</f>
        <v>0</v>
      </c>
      <c r="D110" s="96">
        <f t="shared" ref="D110:F110" si="29">+E67</f>
        <v>0</v>
      </c>
      <c r="E110" s="96">
        <f t="shared" si="29"/>
        <v>0</v>
      </c>
      <c r="F110" s="96">
        <f t="shared" si="29"/>
        <v>0</v>
      </c>
    </row>
    <row r="111" spans="1:6" ht="15" hidden="1">
      <c r="A111" s="24" t="s">
        <v>10</v>
      </c>
      <c r="B111" s="132"/>
      <c r="C111" s="84"/>
      <c r="D111" s="84"/>
      <c r="E111" s="84"/>
      <c r="F111" s="84"/>
    </row>
    <row r="112" spans="1:6" ht="15" hidden="1">
      <c r="A112" s="24" t="s">
        <v>86</v>
      </c>
      <c r="B112" s="132"/>
      <c r="C112" s="84"/>
      <c r="D112" s="84"/>
      <c r="E112" s="84"/>
      <c r="F112" s="84"/>
    </row>
    <row r="113" spans="1:6" ht="15" hidden="1">
      <c r="A113" s="24"/>
      <c r="B113" s="132"/>
      <c r="C113" s="84"/>
      <c r="D113" s="84"/>
      <c r="E113" s="84"/>
      <c r="F113" s="84"/>
    </row>
    <row r="114" spans="1:6" ht="15" hidden="1">
      <c r="A114" s="44"/>
      <c r="B114" s="133"/>
      <c r="C114" s="101"/>
      <c r="D114" s="101"/>
      <c r="E114" s="101"/>
      <c r="F114" s="101"/>
    </row>
    <row r="115" spans="1:6" ht="15" hidden="1">
      <c r="A115" s="39" t="s">
        <v>14</v>
      </c>
      <c r="B115" s="131" t="e">
        <f>+#REF!</f>
        <v>#REF!</v>
      </c>
      <c r="C115" s="96">
        <f t="shared" ref="C115:C116" si="30">+D78</f>
        <v>0</v>
      </c>
      <c r="D115" s="96" t="e">
        <f t="shared" ref="D115:D116" si="31">+E78</f>
        <v>#DIV/0!</v>
      </c>
      <c r="E115" s="96" t="e">
        <f t="shared" ref="E115:E116" si="32">+F78</f>
        <v>#DIV/0!</v>
      </c>
      <c r="F115" s="96">
        <f t="shared" ref="F115:F116" si="33">+G78</f>
        <v>0</v>
      </c>
    </row>
    <row r="116" spans="1:6" ht="15" hidden="1">
      <c r="A116" s="39" t="s">
        <v>14</v>
      </c>
      <c r="B116" s="131" t="e">
        <f>+#REF!</f>
        <v>#REF!</v>
      </c>
      <c r="C116" s="96">
        <f t="shared" si="30"/>
        <v>0.709927797833935</v>
      </c>
      <c r="D116" s="96" t="e">
        <f t="shared" si="31"/>
        <v>#DIV/0!</v>
      </c>
      <c r="E116" s="96" t="e">
        <f t="shared" si="32"/>
        <v>#DIV/0!</v>
      </c>
      <c r="F116" s="96">
        <f t="shared" si="33"/>
        <v>0</v>
      </c>
    </row>
    <row r="117" spans="1:6" ht="15" hidden="1">
      <c r="A117" s="24" t="s">
        <v>15</v>
      </c>
      <c r="B117" s="134" t="e">
        <f>+#REF!</f>
        <v>#REF!</v>
      </c>
      <c r="C117" s="102" t="str">
        <f t="shared" ref="C117:C118" si="34">+D82</f>
        <v>0</v>
      </c>
      <c r="D117" s="102" t="str">
        <f t="shared" ref="D117:D118" si="35">+E82</f>
        <v>0</v>
      </c>
      <c r="E117" s="102" t="str">
        <f t="shared" ref="E117:E118" si="36">+F82</f>
        <v>0</v>
      </c>
      <c r="F117" s="102">
        <f t="shared" ref="F117:F118" si="37">+G82</f>
        <v>0</v>
      </c>
    </row>
    <row r="118" spans="1:6" ht="15" hidden="1">
      <c r="A118" s="24" t="s">
        <v>15</v>
      </c>
      <c r="B118" s="134" t="e">
        <f>+#REF!</f>
        <v>#REF!</v>
      </c>
      <c r="C118" s="102">
        <f t="shared" si="34"/>
        <v>0.128</v>
      </c>
      <c r="D118" s="102" t="e">
        <f t="shared" si="35"/>
        <v>#DIV/0!</v>
      </c>
      <c r="E118" s="102" t="e">
        <f t="shared" si="36"/>
        <v>#DIV/0!</v>
      </c>
      <c r="F118" s="102">
        <f t="shared" si="37"/>
        <v>0</v>
      </c>
    </row>
    <row r="119" spans="1:6" ht="15" hidden="1">
      <c r="A119" s="39" t="s">
        <v>17</v>
      </c>
      <c r="B119" s="135" t="e">
        <f>+#REF!</f>
        <v>#REF!</v>
      </c>
      <c r="C119" s="103">
        <f t="shared" ref="C119:C120" si="38">+D86</f>
        <v>0</v>
      </c>
      <c r="D119" s="103">
        <f t="shared" ref="D119:D120" si="39">+E86</f>
        <v>0</v>
      </c>
      <c r="E119" s="103">
        <f t="shared" ref="E119:E120" si="40">+F86</f>
        <v>0</v>
      </c>
      <c r="F119" s="103">
        <f t="shared" ref="F119:F120" si="41">+G86</f>
        <v>0</v>
      </c>
    </row>
    <row r="120" spans="1:6" ht="15" hidden="1">
      <c r="A120" s="39" t="s">
        <v>17</v>
      </c>
      <c r="B120" s="135" t="e">
        <f>+#REF!</f>
        <v>#REF!</v>
      </c>
      <c r="C120" s="103">
        <f t="shared" si="38"/>
        <v>0</v>
      </c>
      <c r="D120" s="103">
        <f t="shared" si="39"/>
        <v>0</v>
      </c>
      <c r="E120" s="103">
        <f t="shared" si="40"/>
        <v>0</v>
      </c>
      <c r="F120" s="103">
        <f t="shared" si="41"/>
        <v>0</v>
      </c>
    </row>
    <row r="121" spans="1:6" ht="24.75">
      <c r="B121" s="129" t="s">
        <v>124</v>
      </c>
      <c r="C121" s="127">
        <f>+C83+C79+C59+C15+C57</f>
        <v>0.41832094978523404</v>
      </c>
      <c r="D121" s="127">
        <f>+D83+D79+D59+D15+D57</f>
        <v>1</v>
      </c>
      <c r="E121" s="127" t="e">
        <f>+E83+E79+E59+E15+E57</f>
        <v>#DIV/0!</v>
      </c>
      <c r="F121" s="127" t="e">
        <f>+F83+F79+F59+F15+F57</f>
        <v>#DIV/0!</v>
      </c>
    </row>
    <row r="122" spans="1:6" ht="15">
      <c r="B122" s="130" t="s">
        <v>55</v>
      </c>
      <c r="C122" s="126">
        <f>C90+C121</f>
        <v>0.99999999999999989</v>
      </c>
      <c r="D122" s="126">
        <f t="shared" ref="D122:F122" si="42">D90+D121</f>
        <v>1</v>
      </c>
      <c r="E122" s="126" t="e">
        <f t="shared" si="42"/>
        <v>#DIV/0!</v>
      </c>
      <c r="F122" s="126" t="e">
        <f t="shared" si="42"/>
        <v>#DIV/0!</v>
      </c>
    </row>
  </sheetData>
  <sheetProtection password="EE3E" sheet="1" objects="1" scenarios="1"/>
  <mergeCells count="3">
    <mergeCell ref="A1:F1"/>
    <mergeCell ref="B2:B3"/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103</vt:i4>
      </vt:variant>
    </vt:vector>
  </HeadingPairs>
  <TitlesOfParts>
    <vt:vector size="106" baseType="lpstr">
      <vt:lpstr>SFD</vt:lpstr>
      <vt:lpstr>Input sheet</vt:lpstr>
      <vt:lpstr>Calculation sheet</vt:lpstr>
      <vt:lpstr>'Calculation sheet'!Bathroom</vt:lpstr>
      <vt:lpstr>'Calculation sheet'!Bathroom_Drains</vt:lpstr>
      <vt:lpstr>SFD!Bathroom_Drains</vt:lpstr>
      <vt:lpstr>SFD!Bathroom_Drains_Treated_Exit</vt:lpstr>
      <vt:lpstr>SFD!Bathroom_Drains_Untreated_WaterbodiesExit</vt:lpstr>
      <vt:lpstr>'Calculation sheet'!Bathroom_Septic</vt:lpstr>
      <vt:lpstr>SFD!Bathroom_Septic</vt:lpstr>
      <vt:lpstr>SFD!Bathroom_Sewerage</vt:lpstr>
      <vt:lpstr>SFD!BathroomKitchen</vt:lpstr>
      <vt:lpstr>Cities</vt:lpstr>
      <vt:lpstr>'Calculation sheet'!CommToilet</vt:lpstr>
      <vt:lpstr>SFD!CommToilet</vt:lpstr>
      <vt:lpstr>'Calculation sheet'!CommToilet_Septic</vt:lpstr>
      <vt:lpstr>SFD!CommToilet_Septic</vt:lpstr>
      <vt:lpstr>'Calculation sheet'!CommToilet_Sewerage</vt:lpstr>
      <vt:lpstr>SFD!CommToilet_Sewerage</vt:lpstr>
      <vt:lpstr>'Calculation sheet'!DoublePit_SafelyAbandoned</vt:lpstr>
      <vt:lpstr>SFD!DoublePit_SafelyAbandoned</vt:lpstr>
      <vt:lpstr>'Calculation sheet'!IndToilet</vt:lpstr>
      <vt:lpstr>SFD!IndToilet</vt:lpstr>
      <vt:lpstr>'Calculation sheet'!IndToilet_DoublePit</vt:lpstr>
      <vt:lpstr>SFD!IndToilet_DoublePit</vt:lpstr>
      <vt:lpstr>'Calculation sheet'!IndToilet_Septic</vt:lpstr>
      <vt:lpstr>SFD!IndToilet_Septic</vt:lpstr>
      <vt:lpstr>'Calculation sheet'!IndToilet_Sewerage</vt:lpstr>
      <vt:lpstr>SFD!IndToilet_Sewerage</vt:lpstr>
      <vt:lpstr>'Calculation sheet'!IndToilet_SinglePit</vt:lpstr>
      <vt:lpstr>SFD!IndToilet_SinglePit</vt:lpstr>
      <vt:lpstr>SFD!ModBathroom_Drains</vt:lpstr>
      <vt:lpstr>SFD!ModBathroom_Drains_Treated_Exit</vt:lpstr>
      <vt:lpstr>SFD!ModBathroom_Drains_Untreated_WaterbodiesExit</vt:lpstr>
      <vt:lpstr>SFD!ModBathroom_Septic</vt:lpstr>
      <vt:lpstr>SFD!ModBathroom_Sewerage</vt:lpstr>
      <vt:lpstr>SFD!ModCommToilet_Septic</vt:lpstr>
      <vt:lpstr>SFD!ModCommToilet_Sewerage</vt:lpstr>
      <vt:lpstr>SFD!ModDoublePit_SafelyAbandoned</vt:lpstr>
      <vt:lpstr>SFD!ModIndToilet_DoublePit</vt:lpstr>
      <vt:lpstr>SFD!ModIndToilet_Septic</vt:lpstr>
      <vt:lpstr>SFD!ModIndToilet_Sewerage</vt:lpstr>
      <vt:lpstr>SFD!ModIndToilet_SinglePit</vt:lpstr>
      <vt:lpstr>SFD!ModOD_Environment</vt:lpstr>
      <vt:lpstr>SFD!ModSepticTank_Effluent</vt:lpstr>
      <vt:lpstr>SFD!ModSepticTank_SafeEmpty</vt:lpstr>
      <vt:lpstr>SFD!ModSepticTank_SafeEmpty_Treated_Exit</vt:lpstr>
      <vt:lpstr>SFD!ModSepticTank_SafeEmpty_UnTreated_Exit</vt:lpstr>
      <vt:lpstr>SFD!ModSepticTank_SettledSewer</vt:lpstr>
      <vt:lpstr>SFD!ModSepticTank_SoakPit</vt:lpstr>
      <vt:lpstr>SFD!ModSepticTank_SoakPit_Exit</vt:lpstr>
      <vt:lpstr>SFD!ModSepticTank_Treated_Exit</vt:lpstr>
      <vt:lpstr>SFD!ModSepticTank_UnSafeEmpty</vt:lpstr>
      <vt:lpstr>SFD!ModSepticTank_UnSafeEmpty_Exit</vt:lpstr>
      <vt:lpstr>SFD!ModSepticTank_UnTreated_Exit</vt:lpstr>
      <vt:lpstr>SFD!ModSettledSewer_Treated_Exit</vt:lpstr>
      <vt:lpstr>SFD!ModSettledSewer_UnTreated_Exit</vt:lpstr>
      <vt:lpstr>SFD!ModSettledSewerDrains_Treated_Exit</vt:lpstr>
      <vt:lpstr>SFD!ModSettledSewerDrains_UnTreated_Exit</vt:lpstr>
      <vt:lpstr>SFD!ModSewerage_NoTreatment</vt:lpstr>
      <vt:lpstr>SFD!ModSewerage_SafelyConveyed</vt:lpstr>
      <vt:lpstr>SFD!ModSewerage_Treated</vt:lpstr>
      <vt:lpstr>SFD!ModSewerage_Treated_Exit</vt:lpstr>
      <vt:lpstr>SFD!ModSewerage_Untreated_WaterbodiesExit</vt:lpstr>
      <vt:lpstr>SFD!ModSinglePit_Exit</vt:lpstr>
      <vt:lpstr>SFD!OD</vt:lpstr>
      <vt:lpstr>'Calculation sheet'!OD_Environment</vt:lpstr>
      <vt:lpstr>SFD!OD_Environment</vt:lpstr>
      <vt:lpstr>SFD!OnsiteTotal</vt:lpstr>
      <vt:lpstr>SFD!SafeExit</vt:lpstr>
      <vt:lpstr>SFD!SepticTank_Effluent</vt:lpstr>
      <vt:lpstr>'Calculation sheet'!SepticTank_SafeEmpty</vt:lpstr>
      <vt:lpstr>SFD!SepticTank_SafeEmpty</vt:lpstr>
      <vt:lpstr>SFD!SepticTank_SafeEmpty_Treated_Exit</vt:lpstr>
      <vt:lpstr>SFD!SepticTank_SafeEmpty_UnTreated_Exit</vt:lpstr>
      <vt:lpstr>'Calculation sheet'!SepticTank_SettledSewer</vt:lpstr>
      <vt:lpstr>SFD!SepticTank_SettledSewer</vt:lpstr>
      <vt:lpstr>'Calculation sheet'!SepticTank_SoakPit</vt:lpstr>
      <vt:lpstr>SFD!SepticTank_SoakPit</vt:lpstr>
      <vt:lpstr>SFD!SepticTank_SoakPit_Exit</vt:lpstr>
      <vt:lpstr>'Calculation sheet'!SepticTank_Treated_Exit</vt:lpstr>
      <vt:lpstr>'Calculation sheet'!SepticTank_UnSafeEmpty</vt:lpstr>
      <vt:lpstr>SFD!SepticTank_UnSafeEmpty</vt:lpstr>
      <vt:lpstr>SFD!SepticTank_UnSafeEmpty_Exit</vt:lpstr>
      <vt:lpstr>'Calculation sheet'!SepticTank_UnTreated_Exit</vt:lpstr>
      <vt:lpstr>SFD!SepticTotal</vt:lpstr>
      <vt:lpstr>'Calculation sheet'!SettledSewer_Treated_Exit</vt:lpstr>
      <vt:lpstr>'Calculation sheet'!SettledSewer_UnTreated_Exit</vt:lpstr>
      <vt:lpstr>SFD!SettledSewerDrains_Treated_Exit</vt:lpstr>
      <vt:lpstr>SFD!SettledSewerDrains_UnTreated_Exit</vt:lpstr>
      <vt:lpstr>SFD!SettledSewersDrainsTotal</vt:lpstr>
      <vt:lpstr>'Calculation sheet'!Sewerage_NoTreatment</vt:lpstr>
      <vt:lpstr>SFD!Sewerage_NoTreatment</vt:lpstr>
      <vt:lpstr>'Calculation sheet'!Sewerage_SafelyConveyed</vt:lpstr>
      <vt:lpstr>SFD!Sewerage_SafelyConveyed</vt:lpstr>
      <vt:lpstr>SFD!Sewerage_Treated</vt:lpstr>
      <vt:lpstr>'Calculation sheet'!Sewerage_Treated_Exit</vt:lpstr>
      <vt:lpstr>SFD!Sewerage_Treated_Exit</vt:lpstr>
      <vt:lpstr>SFD!Sewerage_Untreated_WaterbodiesExit</vt:lpstr>
      <vt:lpstr>SFD!SewerageTotal</vt:lpstr>
      <vt:lpstr>SFD!SinglePit_Exit</vt:lpstr>
      <vt:lpstr>State</vt:lpstr>
      <vt:lpstr>Statelist</vt:lpstr>
      <vt:lpstr>SFD!ULB</vt:lpstr>
      <vt:lpstr>SFD!UndergroundSewerage</vt:lpstr>
      <vt:lpstr>SFD!UnsafeExit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Mahroof</dc:creator>
  <cp:lastModifiedBy>admin1</cp:lastModifiedBy>
  <dcterms:created xsi:type="dcterms:W3CDTF">2015-08-05T12:12:51Z</dcterms:created>
  <dcterms:modified xsi:type="dcterms:W3CDTF">2019-02-19T13:25:04Z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94c7f156-acd1-431a-9532-a5d102254c73</vt:lpwstr>
  </property>
</Properties>
</file>