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6.xml" ContentType="application/vnd.openxmlformats-officedocument.spreadsheetml.externalLink+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180" yWindow="-15" windowWidth="10755" windowHeight="7950" tabRatio="769"/>
  </bookViews>
  <sheets>
    <sheet name="Cover" sheetId="18" r:id="rId1"/>
    <sheet name="User guide" sheetId="8" r:id="rId2"/>
    <sheet name="ULB target" sheetId="1" r:id="rId3"/>
    <sheet name="General Info" sheetId="13" state="hidden" r:id="rId4"/>
    <sheet name="water" sheetId="14" state="hidden" r:id="rId5"/>
    <sheet name="sewerage" sheetId="15" state="hidden" r:id="rId6"/>
    <sheet name="swm" sheetId="16" state="hidden" r:id="rId7"/>
    <sheet name="Equity Related Information" sheetId="17" state="hidden" r:id="rId8"/>
    <sheet name="Guidelines" sheetId="10" r:id="rId9"/>
  </sheets>
  <externalReferences>
    <externalReference r:id="rId10"/>
    <externalReference r:id="rId11"/>
    <externalReference r:id="rId12"/>
    <externalReference r:id="rId13"/>
    <externalReference r:id="rId14"/>
    <externalReference r:id="rId15"/>
  </externalReferences>
  <definedNames>
    <definedName name="_sl_serviceinfo_source" localSheetId="8">[1]VII!$G$25</definedName>
    <definedName name="_sl_serviceinfo_source">[1]VII!$G$25</definedName>
    <definedName name="_sl_tot_hh" localSheetId="8">[1]VII!$E$8</definedName>
    <definedName name="_sl_tot_hh">[1]VII!$E$8</definedName>
    <definedName name="_Total_no_of_HH_in_ULB_2009" localSheetId="8">[1]Basic_BckUp_Cal!$C$4</definedName>
    <definedName name="_Total_no_of_HH_in_ULB_2009">[1]Basic_BckUp_Cal!$C$4</definedName>
    <definedName name="_Total_population_in_ULB_2009" localSheetId="8">#REF!</definedName>
    <definedName name="_Total_population_in_ULB_2009">#REF!</definedName>
    <definedName name="_w_hh_indiv_conxn" localSheetId="8">[1]III!$F$69</definedName>
    <definedName name="_w_hh_indiv_conxn">[1]III!$F$69</definedName>
    <definedName name="_ww_piped_netwrk_y_n">[2]V!$H$6</definedName>
    <definedName name="_year_2001" localSheetId="8">[1]I!$B$7</definedName>
    <definedName name="_year_2001">[1]I!$B$7</definedName>
    <definedName name="MCElecUnitCost" localSheetId="8">[3]Revenue!$BI$14:$BI$36</definedName>
    <definedName name="MCElecUnitCost">[3]Revenue!$BI$14:$BI$36</definedName>
    <definedName name="MuniElecUnitCost" localSheetId="8">[3]Revenue!$BI$37:$BI$261</definedName>
    <definedName name="MuniElecUnitCost">[3]Revenue!$BI$37:$BI$261</definedName>
    <definedName name="_xlnm.Print_Area" localSheetId="0">Cover!$B$2:$J$44</definedName>
    <definedName name="_xlnm.Print_Area" localSheetId="7">'Equity Related Information'!$A$1:$H$259</definedName>
    <definedName name="_xlnm.Print_Area" localSheetId="3">'General Info'!$A$1:$H$112</definedName>
    <definedName name="_xlnm.Print_Area" localSheetId="8">Guidelines!$B$2:$G$186</definedName>
    <definedName name="_xlnm.Print_Area" localSheetId="5">sewerage!$A$1:$H$186</definedName>
    <definedName name="_xlnm.Print_Area" localSheetId="6">swm!$A$1:$H$178</definedName>
    <definedName name="_xlnm.Print_Area" localSheetId="2">'ULB target'!$D$2:$O$209</definedName>
    <definedName name="_xlnm.Print_Area" localSheetId="1">'User guide'!$B$2:$G$53</definedName>
    <definedName name="_xlnm.Print_Area" localSheetId="4">water!$A$1:$H$223</definedName>
    <definedName name="_xlnm.Print_Titles" localSheetId="8">Guidelines!$2:$12</definedName>
    <definedName name="_xlnm.Print_Titles" localSheetId="2">'ULB target'!$2:$16</definedName>
    <definedName name="Select_City" localSheetId="8">[3]Summary!#REF!</definedName>
    <definedName name="Select_City">[3]Summary!#REF!</definedName>
    <definedName name="Target_modified_by_City_ws_cov" localSheetId="8">[3]Summary!#REF!</definedName>
    <definedName name="Target_modified_by_City_ws_cov">[3]Summary!#REF!</definedName>
    <definedName name="ULBclass" localSheetId="0">'[4]Sheet2 (2)'!$A$2:$A$167</definedName>
    <definedName name="ULBclass">#REF!</definedName>
    <definedName name="ULBclasses" localSheetId="0">'[4]Sheet2 (2)'!$D$2:$D$6</definedName>
    <definedName name="ULBclasses">#REF!</definedName>
    <definedName name="ULBclassSelected" localSheetId="0">'[4]ULB target'!$C$15</definedName>
    <definedName name="ULBclassSelected">'ULB target'!$C$15</definedName>
    <definedName name="ULBclassSelectedID" localSheetId="0">'[4]ULB target'!$C$14</definedName>
    <definedName name="ULBclassSelectedID">'ULB target'!$C$14</definedName>
    <definedName name="ULBDropDown" localSheetId="0">OFFSET(Cover!ULBlist,MATCH(Cover!ULBclassSelected,Cover!ULBclass,0)-1,0,COUNTIF(Cover!ULBclass,Cover!ULBclassSelected),1)</definedName>
    <definedName name="ULBDropDown">OFFSET(Cover!ULBlist,MATCH(ULBclassSelected,ULBclass,0)-1,0,COUNTIF(ULBclass,ULBclassSelected),1)</definedName>
    <definedName name="ULBlist" localSheetId="0">'[4]Sheet2 (2)'!$B$2:$B$167</definedName>
    <definedName name="ULBlist">#REF!</definedName>
  </definedNames>
  <calcPr calcId="125725"/>
</workbook>
</file>

<file path=xl/calcChain.xml><?xml version="1.0" encoding="utf-8"?>
<calcChain xmlns="http://schemas.openxmlformats.org/spreadsheetml/2006/main">
  <c r="K95" i="1"/>
  <c r="I66" i="15" l="1"/>
  <c r="I65"/>
  <c r="I64"/>
  <c r="H188" i="1" l="1"/>
  <c r="H206" s="1"/>
  <c r="I188"/>
  <c r="I206" s="1"/>
  <c r="J188"/>
  <c r="J206" s="1"/>
  <c r="G188"/>
  <c r="H136"/>
  <c r="H201" s="1"/>
  <c r="I136"/>
  <c r="I201" s="1"/>
  <c r="J136"/>
  <c r="J201" s="1"/>
  <c r="G136"/>
  <c r="H185"/>
  <c r="I185"/>
  <c r="J185"/>
  <c r="G185"/>
  <c r="I82" i="16" l="1"/>
  <c r="H173" i="1"/>
  <c r="I173"/>
  <c r="J173"/>
  <c r="K173" s="1"/>
  <c r="G173"/>
  <c r="K155"/>
  <c r="K154"/>
  <c r="H155"/>
  <c r="I155"/>
  <c r="J155"/>
  <c r="G155"/>
  <c r="H154"/>
  <c r="I154"/>
  <c r="J154"/>
  <c r="G154"/>
  <c r="K151"/>
  <c r="K25" i="13"/>
  <c r="H172" i="16"/>
  <c r="G172"/>
  <c r="F172"/>
  <c r="E172"/>
  <c r="D172"/>
  <c r="H171"/>
  <c r="G171"/>
  <c r="F171"/>
  <c r="E171"/>
  <c r="D171"/>
  <c r="H168"/>
  <c r="G168"/>
  <c r="F168"/>
  <c r="E168"/>
  <c r="D168"/>
  <c r="H167"/>
  <c r="G167"/>
  <c r="F167"/>
  <c r="E167"/>
  <c r="D167"/>
  <c r="H166"/>
  <c r="G166"/>
  <c r="F166"/>
  <c r="E166"/>
  <c r="D166"/>
  <c r="H164"/>
  <c r="G164"/>
  <c r="F164"/>
  <c r="E164"/>
  <c r="H163"/>
  <c r="G163"/>
  <c r="F163"/>
  <c r="E163"/>
  <c r="H162"/>
  <c r="G162"/>
  <c r="F162"/>
  <c r="E162"/>
  <c r="H161"/>
  <c r="G161"/>
  <c r="F161"/>
  <c r="E161"/>
  <c r="H160"/>
  <c r="G160"/>
  <c r="F160"/>
  <c r="E160"/>
  <c r="H159"/>
  <c r="G159"/>
  <c r="F159"/>
  <c r="E159"/>
  <c r="H158"/>
  <c r="G158"/>
  <c r="F158"/>
  <c r="E158"/>
  <c r="H157"/>
  <c r="G157"/>
  <c r="F157"/>
  <c r="E157"/>
  <c r="H156"/>
  <c r="G156"/>
  <c r="F156"/>
  <c r="E156"/>
  <c r="D156"/>
  <c r="H146"/>
  <c r="G146"/>
  <c r="F146"/>
  <c r="E146"/>
  <c r="D146"/>
  <c r="H139"/>
  <c r="G139"/>
  <c r="F139"/>
  <c r="E139"/>
  <c r="D139"/>
  <c r="H117"/>
  <c r="G117"/>
  <c r="F117"/>
  <c r="E117"/>
  <c r="D117"/>
  <c r="H111"/>
  <c r="G111"/>
  <c r="F111"/>
  <c r="E111"/>
  <c r="D111"/>
  <c r="H99"/>
  <c r="G99"/>
  <c r="F99"/>
  <c r="E99"/>
  <c r="D99"/>
  <c r="H89"/>
  <c r="G89"/>
  <c r="F89"/>
  <c r="E89"/>
  <c r="D89"/>
  <c r="H84"/>
  <c r="G84"/>
  <c r="F84"/>
  <c r="E84"/>
  <c r="D84"/>
  <c r="H79"/>
  <c r="G79"/>
  <c r="F79"/>
  <c r="E79"/>
  <c r="D79"/>
  <c r="H61"/>
  <c r="G61"/>
  <c r="F61"/>
  <c r="E61"/>
  <c r="D61"/>
  <c r="H56"/>
  <c r="G56"/>
  <c r="F56"/>
  <c r="E56"/>
  <c r="D56"/>
  <c r="H15"/>
  <c r="G15"/>
  <c r="F15"/>
  <c r="E15"/>
  <c r="D15"/>
  <c r="H4"/>
  <c r="G4"/>
  <c r="F4"/>
  <c r="E4"/>
  <c r="D4"/>
  <c r="H132" i="1"/>
  <c r="I132"/>
  <c r="J132"/>
  <c r="G132"/>
  <c r="K133"/>
  <c r="J156" l="1"/>
  <c r="H156"/>
  <c r="M154"/>
  <c r="I156"/>
  <c r="K156"/>
  <c r="J174"/>
  <c r="H174"/>
  <c r="I174"/>
  <c r="K174" l="1"/>
  <c r="K120"/>
  <c r="K61"/>
  <c r="K57"/>
  <c r="K123"/>
  <c r="H116"/>
  <c r="I116"/>
  <c r="J116"/>
  <c r="K116" s="1"/>
  <c r="G116"/>
  <c r="H108"/>
  <c r="I108"/>
  <c r="J108"/>
  <c r="K108" s="1"/>
  <c r="G108"/>
  <c r="K86"/>
  <c r="H104"/>
  <c r="I104"/>
  <c r="J104"/>
  <c r="K104" s="1"/>
  <c r="G104"/>
  <c r="H95"/>
  <c r="I95"/>
  <c r="J95"/>
  <c r="G95"/>
  <c r="K18" i="13"/>
  <c r="M95" i="1" s="1"/>
  <c r="H185" i="15"/>
  <c r="G185"/>
  <c r="F185"/>
  <c r="E185"/>
  <c r="D185"/>
  <c r="H184"/>
  <c r="G184"/>
  <c r="F184"/>
  <c r="E184"/>
  <c r="D184"/>
  <c r="H183"/>
  <c r="G183"/>
  <c r="F183"/>
  <c r="E183"/>
  <c r="D183"/>
  <c r="H182"/>
  <c r="G182"/>
  <c r="F182"/>
  <c r="E182"/>
  <c r="D182"/>
  <c r="H178"/>
  <c r="G178"/>
  <c r="F178"/>
  <c r="E178"/>
  <c r="D178"/>
  <c r="H177"/>
  <c r="G177"/>
  <c r="F177"/>
  <c r="E177"/>
  <c r="D177"/>
  <c r="H176"/>
  <c r="G176"/>
  <c r="F176"/>
  <c r="E176"/>
  <c r="D176"/>
  <c r="H175"/>
  <c r="G175"/>
  <c r="F175"/>
  <c r="E175"/>
  <c r="D175"/>
  <c r="H173"/>
  <c r="G173"/>
  <c r="F173"/>
  <c r="E173"/>
  <c r="D173"/>
  <c r="H172"/>
  <c r="G172"/>
  <c r="F172"/>
  <c r="E172"/>
  <c r="D172"/>
  <c r="H169"/>
  <c r="G169"/>
  <c r="F169"/>
  <c r="E169"/>
  <c r="D169"/>
  <c r="H167"/>
  <c r="G167"/>
  <c r="F167"/>
  <c r="E167"/>
  <c r="D167"/>
  <c r="H166"/>
  <c r="G166"/>
  <c r="F166"/>
  <c r="E166"/>
  <c r="D166"/>
  <c r="H165"/>
  <c r="G165"/>
  <c r="F165"/>
  <c r="E165"/>
  <c r="D165"/>
  <c r="H164"/>
  <c r="G164"/>
  <c r="F164"/>
  <c r="E164"/>
  <c r="D164"/>
  <c r="H163"/>
  <c r="G163"/>
  <c r="F163"/>
  <c r="E163"/>
  <c r="D163"/>
  <c r="H161"/>
  <c r="G161"/>
  <c r="F161"/>
  <c r="E161"/>
  <c r="D161"/>
  <c r="H160"/>
  <c r="G160"/>
  <c r="F160"/>
  <c r="E160"/>
  <c r="D160"/>
  <c r="H158"/>
  <c r="G158"/>
  <c r="F158"/>
  <c r="E158"/>
  <c r="H157"/>
  <c r="G157"/>
  <c r="F157"/>
  <c r="E157"/>
  <c r="H155"/>
  <c r="G155"/>
  <c r="F155"/>
  <c r="E155"/>
  <c r="D155"/>
  <c r="H154"/>
  <c r="G154"/>
  <c r="F154"/>
  <c r="E154"/>
  <c r="H153"/>
  <c r="G153"/>
  <c r="F153"/>
  <c r="E153"/>
  <c r="H152"/>
  <c r="G152"/>
  <c r="F152"/>
  <c r="E152"/>
  <c r="H151"/>
  <c r="G151"/>
  <c r="F151"/>
  <c r="E151"/>
  <c r="H150"/>
  <c r="G150"/>
  <c r="F150"/>
  <c r="E150"/>
  <c r="H147"/>
  <c r="G147"/>
  <c r="F147"/>
  <c r="E147"/>
  <c r="H146"/>
  <c r="G146"/>
  <c r="F146"/>
  <c r="E146"/>
  <c r="H144"/>
  <c r="G144"/>
  <c r="F144"/>
  <c r="E144"/>
  <c r="D144"/>
  <c r="H140"/>
  <c r="G140"/>
  <c r="F140"/>
  <c r="E140"/>
  <c r="D140"/>
  <c r="H130"/>
  <c r="G130"/>
  <c r="F130"/>
  <c r="E130"/>
  <c r="D130"/>
  <c r="H94"/>
  <c r="G94"/>
  <c r="F94"/>
  <c r="E94"/>
  <c r="D94"/>
  <c r="H85"/>
  <c r="G85"/>
  <c r="F85"/>
  <c r="E85"/>
  <c r="D85"/>
  <c r="H78"/>
  <c r="G78"/>
  <c r="F78"/>
  <c r="E78"/>
  <c r="D78"/>
  <c r="H70"/>
  <c r="G70"/>
  <c r="F70"/>
  <c r="E70"/>
  <c r="D70"/>
  <c r="H61"/>
  <c r="G61"/>
  <c r="F61"/>
  <c r="E61"/>
  <c r="D61"/>
  <c r="H56"/>
  <c r="G56"/>
  <c r="F56"/>
  <c r="E56"/>
  <c r="D56"/>
  <c r="H51"/>
  <c r="G51"/>
  <c r="F51"/>
  <c r="E51"/>
  <c r="D51"/>
  <c r="H35"/>
  <c r="G35"/>
  <c r="F35"/>
  <c r="E35"/>
  <c r="D35"/>
  <c r="H23"/>
  <c r="G23"/>
  <c r="F23"/>
  <c r="E23"/>
  <c r="D23"/>
  <c r="H22"/>
  <c r="G22"/>
  <c r="F22"/>
  <c r="E22"/>
  <c r="D22"/>
  <c r="H21"/>
  <c r="G21"/>
  <c r="F21"/>
  <c r="E21"/>
  <c r="D21"/>
  <c r="H20"/>
  <c r="G20"/>
  <c r="F20"/>
  <c r="E20"/>
  <c r="D20"/>
  <c r="H19"/>
  <c r="G19"/>
  <c r="F19"/>
  <c r="E19"/>
  <c r="D19"/>
  <c r="H18"/>
  <c r="G18"/>
  <c r="F18"/>
  <c r="E18"/>
  <c r="D18"/>
  <c r="H17"/>
  <c r="G17"/>
  <c r="F17"/>
  <c r="E17"/>
  <c r="D17"/>
  <c r="H16"/>
  <c r="G16"/>
  <c r="F16"/>
  <c r="E16"/>
  <c r="D16"/>
  <c r="H7"/>
  <c r="G7"/>
  <c r="F7"/>
  <c r="E7"/>
  <c r="D7"/>
  <c r="H4"/>
  <c r="G4"/>
  <c r="F4"/>
  <c r="E4"/>
  <c r="D4"/>
  <c r="H76" i="1"/>
  <c r="H196" s="1"/>
  <c r="I76"/>
  <c r="I196" s="1"/>
  <c r="J76"/>
  <c r="J196" s="1"/>
  <c r="G76"/>
  <c r="H54"/>
  <c r="I54"/>
  <c r="J54"/>
  <c r="G54"/>
  <c r="H53"/>
  <c r="I53"/>
  <c r="J53"/>
  <c r="G53"/>
  <c r="I96" l="1"/>
  <c r="K96"/>
  <c r="M96"/>
  <c r="J96"/>
  <c r="H96"/>
  <c r="K94"/>
  <c r="M84"/>
  <c r="K117"/>
  <c r="I105"/>
  <c r="I109"/>
  <c r="I117"/>
  <c r="J117"/>
  <c r="H117"/>
  <c r="H105"/>
  <c r="H109"/>
  <c r="J109"/>
  <c r="J105"/>
  <c r="K105"/>
  <c r="H72"/>
  <c r="I72"/>
  <c r="J72"/>
  <c r="G72"/>
  <c r="K10" i="13"/>
  <c r="K11" s="1"/>
  <c r="K53" i="1" s="1"/>
  <c r="K97" l="1"/>
  <c r="K12" i="13"/>
  <c r="M33" i="1"/>
  <c r="K107" s="1"/>
  <c r="H223" i="14"/>
  <c r="G223"/>
  <c r="F223"/>
  <c r="E223"/>
  <c r="D223"/>
  <c r="H222"/>
  <c r="G222"/>
  <c r="F222"/>
  <c r="E222"/>
  <c r="D222"/>
  <c r="H220"/>
  <c r="G220"/>
  <c r="F220"/>
  <c r="E220"/>
  <c r="D220"/>
  <c r="H217"/>
  <c r="G217"/>
  <c r="F217"/>
  <c r="E217"/>
  <c r="D217"/>
  <c r="H215"/>
  <c r="G215"/>
  <c r="F215"/>
  <c r="E215"/>
  <c r="D215"/>
  <c r="H213"/>
  <c r="G213"/>
  <c r="F213"/>
  <c r="E213"/>
  <c r="D213"/>
  <c r="H212"/>
  <c r="G212"/>
  <c r="F212"/>
  <c r="E212"/>
  <c r="D212"/>
  <c r="H208"/>
  <c r="G208"/>
  <c r="F208"/>
  <c r="E208"/>
  <c r="D208"/>
  <c r="H207"/>
  <c r="G207"/>
  <c r="F207"/>
  <c r="E207"/>
  <c r="D207"/>
  <c r="H205"/>
  <c r="G205"/>
  <c r="F205"/>
  <c r="E205"/>
  <c r="D205"/>
  <c r="H204"/>
  <c r="G204"/>
  <c r="F204"/>
  <c r="E204"/>
  <c r="D204"/>
  <c r="H200"/>
  <c r="G200"/>
  <c r="F200"/>
  <c r="E200"/>
  <c r="D200"/>
  <c r="H199"/>
  <c r="G199"/>
  <c r="F199"/>
  <c r="E199"/>
  <c r="D199"/>
  <c r="H196"/>
  <c r="G196"/>
  <c r="F196"/>
  <c r="E196"/>
  <c r="D196"/>
  <c r="H195"/>
  <c r="G195"/>
  <c r="F195"/>
  <c r="E195"/>
  <c r="D195"/>
  <c r="H193"/>
  <c r="G193"/>
  <c r="F193"/>
  <c r="E193"/>
  <c r="H192"/>
  <c r="G192"/>
  <c r="F192"/>
  <c r="E192"/>
  <c r="D192"/>
  <c r="H190"/>
  <c r="G190"/>
  <c r="F190"/>
  <c r="E190"/>
  <c r="D190"/>
  <c r="H188"/>
  <c r="G188"/>
  <c r="F188"/>
  <c r="E188"/>
  <c r="D188"/>
  <c r="H187"/>
  <c r="G187"/>
  <c r="F187"/>
  <c r="E187"/>
  <c r="D187"/>
  <c r="H185"/>
  <c r="G185"/>
  <c r="F185"/>
  <c r="E185"/>
  <c r="D185"/>
  <c r="H183"/>
  <c r="G183"/>
  <c r="F183"/>
  <c r="E183"/>
  <c r="H182"/>
  <c r="G182"/>
  <c r="F182"/>
  <c r="E182"/>
  <c r="H180"/>
  <c r="G180"/>
  <c r="F180"/>
  <c r="E180"/>
  <c r="H179"/>
  <c r="G179"/>
  <c r="F179"/>
  <c r="E179"/>
  <c r="H178"/>
  <c r="G178"/>
  <c r="F178"/>
  <c r="E178"/>
  <c r="H177"/>
  <c r="G177"/>
  <c r="F177"/>
  <c r="E177"/>
  <c r="H176"/>
  <c r="G176"/>
  <c r="F176"/>
  <c r="E176"/>
  <c r="H175"/>
  <c r="G175"/>
  <c r="F175"/>
  <c r="E175"/>
  <c r="H173"/>
  <c r="G173"/>
  <c r="F173"/>
  <c r="E173"/>
  <c r="D173"/>
  <c r="H162"/>
  <c r="G162"/>
  <c r="F162"/>
  <c r="E162"/>
  <c r="D162"/>
  <c r="H125"/>
  <c r="G125"/>
  <c r="F125"/>
  <c r="E125"/>
  <c r="D125"/>
  <c r="H119"/>
  <c r="G119"/>
  <c r="F119"/>
  <c r="E119"/>
  <c r="D119"/>
  <c r="H111"/>
  <c r="G111"/>
  <c r="F111"/>
  <c r="E111"/>
  <c r="D111"/>
  <c r="H102"/>
  <c r="G102"/>
  <c r="F102"/>
  <c r="E102"/>
  <c r="D102"/>
  <c r="H79"/>
  <c r="G79"/>
  <c r="F79"/>
  <c r="E79"/>
  <c r="D79"/>
  <c r="H74"/>
  <c r="G74"/>
  <c r="F74"/>
  <c r="E74"/>
  <c r="D74"/>
  <c r="H69"/>
  <c r="G69"/>
  <c r="F69"/>
  <c r="E69"/>
  <c r="D69"/>
  <c r="H41"/>
  <c r="G41"/>
  <c r="F41"/>
  <c r="E41"/>
  <c r="D41"/>
  <c r="H32"/>
  <c r="G32"/>
  <c r="F32"/>
  <c r="E32"/>
  <c r="D32"/>
  <c r="H31"/>
  <c r="G31"/>
  <c r="F31"/>
  <c r="E31"/>
  <c r="D31"/>
  <c r="H25"/>
  <c r="G25"/>
  <c r="F25"/>
  <c r="E25"/>
  <c r="D25"/>
  <c r="H4"/>
  <c r="G4"/>
  <c r="F4"/>
  <c r="E4"/>
  <c r="D4"/>
  <c r="N14" i="1"/>
  <c r="K14"/>
  <c r="I14"/>
  <c r="G14"/>
  <c r="H248" i="17"/>
  <c r="G248"/>
  <c r="F248"/>
  <c r="E248"/>
  <c r="D248"/>
  <c r="H244"/>
  <c r="H256" s="1"/>
  <c r="G244"/>
  <c r="G256" s="1"/>
  <c r="F244"/>
  <c r="F256" s="1"/>
  <c r="E244"/>
  <c r="E256" s="1"/>
  <c r="D244"/>
  <c r="D256" s="1"/>
  <c r="H243"/>
  <c r="H255" s="1"/>
  <c r="G243"/>
  <c r="G255" s="1"/>
  <c r="F243"/>
  <c r="F255" s="1"/>
  <c r="E243"/>
  <c r="E255" s="1"/>
  <c r="D243"/>
  <c r="D255" s="1"/>
  <c r="H242"/>
  <c r="H254" s="1"/>
  <c r="G242"/>
  <c r="G254" s="1"/>
  <c r="F242"/>
  <c r="F254" s="1"/>
  <c r="E242"/>
  <c r="E254" s="1"/>
  <c r="D242"/>
  <c r="D254" s="1"/>
  <c r="H240"/>
  <c r="H252" s="1"/>
  <c r="G240"/>
  <c r="G252" s="1"/>
  <c r="F240"/>
  <c r="F252" s="1"/>
  <c r="E240"/>
  <c r="E252" s="1"/>
  <c r="D240"/>
  <c r="D252" s="1"/>
  <c r="H239"/>
  <c r="H251" s="1"/>
  <c r="G239"/>
  <c r="G251" s="1"/>
  <c r="F239"/>
  <c r="F251" s="1"/>
  <c r="E239"/>
  <c r="E251" s="1"/>
  <c r="D239"/>
  <c r="D251" s="1"/>
  <c r="H238"/>
  <c r="H250" s="1"/>
  <c r="G238"/>
  <c r="G250" s="1"/>
  <c r="G249" s="1"/>
  <c r="F238"/>
  <c r="F250" s="1"/>
  <c r="E238"/>
  <c r="E250" s="1"/>
  <c r="E249" s="1"/>
  <c r="D238"/>
  <c r="D250" s="1"/>
  <c r="H236"/>
  <c r="G236"/>
  <c r="F236"/>
  <c r="E236"/>
  <c r="D236"/>
  <c r="H234"/>
  <c r="G234"/>
  <c r="F234"/>
  <c r="E234"/>
  <c r="D234"/>
  <c r="H233"/>
  <c r="G233"/>
  <c r="F233"/>
  <c r="E233"/>
  <c r="D233"/>
  <c r="H232"/>
  <c r="G232"/>
  <c r="F232"/>
  <c r="E232"/>
  <c r="D232"/>
  <c r="H231"/>
  <c r="G231"/>
  <c r="F231"/>
  <c r="E231"/>
  <c r="D231"/>
  <c r="H228"/>
  <c r="G228"/>
  <c r="F228"/>
  <c r="E228"/>
  <c r="D228"/>
  <c r="H227"/>
  <c r="G227"/>
  <c r="F227"/>
  <c r="E227"/>
  <c r="D227"/>
  <c r="H225"/>
  <c r="G225"/>
  <c r="F225"/>
  <c r="E225"/>
  <c r="D225"/>
  <c r="H224"/>
  <c r="G224"/>
  <c r="F224"/>
  <c r="E224"/>
  <c r="D224"/>
  <c r="H220"/>
  <c r="G220"/>
  <c r="F220"/>
  <c r="E220"/>
  <c r="D220"/>
  <c r="H218"/>
  <c r="G218"/>
  <c r="F218"/>
  <c r="E218"/>
  <c r="H217"/>
  <c r="G217"/>
  <c r="F217"/>
  <c r="E217"/>
  <c r="H216"/>
  <c r="G216"/>
  <c r="F216"/>
  <c r="E216"/>
  <c r="H215"/>
  <c r="G215"/>
  <c r="F215"/>
  <c r="E215"/>
  <c r="H214"/>
  <c r="G214"/>
  <c r="F214"/>
  <c r="E214"/>
  <c r="D214"/>
  <c r="H208"/>
  <c r="G208"/>
  <c r="F208"/>
  <c r="E208"/>
  <c r="D208"/>
  <c r="H195"/>
  <c r="G195"/>
  <c r="F195"/>
  <c r="E195"/>
  <c r="D195"/>
  <c r="H190"/>
  <c r="G190"/>
  <c r="F190"/>
  <c r="E190"/>
  <c r="D190"/>
  <c r="H183"/>
  <c r="G183"/>
  <c r="F183"/>
  <c r="E183"/>
  <c r="D183"/>
  <c r="H163"/>
  <c r="G163"/>
  <c r="F163"/>
  <c r="E163"/>
  <c r="D163"/>
  <c r="H143"/>
  <c r="G143"/>
  <c r="F143"/>
  <c r="E143"/>
  <c r="D143"/>
  <c r="H138"/>
  <c r="G138"/>
  <c r="F138"/>
  <c r="E138"/>
  <c r="D138"/>
  <c r="H127"/>
  <c r="G127"/>
  <c r="F127"/>
  <c r="E127"/>
  <c r="D127"/>
  <c r="H115"/>
  <c r="G115"/>
  <c r="F115"/>
  <c r="E115"/>
  <c r="D115"/>
  <c r="H100"/>
  <c r="G100"/>
  <c r="F100"/>
  <c r="E100"/>
  <c r="D100"/>
  <c r="H89"/>
  <c r="G89"/>
  <c r="F89"/>
  <c r="E89"/>
  <c r="D89"/>
  <c r="H86"/>
  <c r="G86"/>
  <c r="F86"/>
  <c r="E86"/>
  <c r="D86"/>
  <c r="H80"/>
  <c r="G80"/>
  <c r="F80"/>
  <c r="E80"/>
  <c r="D80"/>
  <c r="H74"/>
  <c r="G74"/>
  <c r="F74"/>
  <c r="E74"/>
  <c r="D74"/>
  <c r="H66"/>
  <c r="H214" i="14" s="1"/>
  <c r="G66" i="17"/>
  <c r="F66"/>
  <c r="F214" i="14" s="1"/>
  <c r="E66" i="17"/>
  <c r="D66"/>
  <c r="D214" i="14" s="1"/>
  <c r="H60" i="17"/>
  <c r="G60"/>
  <c r="F60"/>
  <c r="E60"/>
  <c r="D60"/>
  <c r="H51"/>
  <c r="G51"/>
  <c r="F51"/>
  <c r="E51"/>
  <c r="D51"/>
  <c r="H33"/>
  <c r="G33"/>
  <c r="F33"/>
  <c r="E33"/>
  <c r="D33"/>
  <c r="H14"/>
  <c r="G14"/>
  <c r="F14"/>
  <c r="E14"/>
  <c r="D14"/>
  <c r="H9"/>
  <c r="H226" s="1"/>
  <c r="G9"/>
  <c r="G212" s="1"/>
  <c r="F9"/>
  <c r="F226" s="1"/>
  <c r="E9"/>
  <c r="E212" s="1"/>
  <c r="D9"/>
  <c r="D226" s="1"/>
  <c r="H7"/>
  <c r="H222" s="1"/>
  <c r="G7"/>
  <c r="G223" s="1"/>
  <c r="F7"/>
  <c r="F222" s="1"/>
  <c r="E7"/>
  <c r="E223" s="1"/>
  <c r="D7"/>
  <c r="D222" s="1"/>
  <c r="H4"/>
  <c r="G4"/>
  <c r="F4"/>
  <c r="E4"/>
  <c r="D4"/>
  <c r="A158" i="16"/>
  <c r="A159" s="1"/>
  <c r="A160" s="1"/>
  <c r="A161" s="1"/>
  <c r="A162" s="1"/>
  <c r="A163" s="1"/>
  <c r="A164" s="1"/>
  <c r="H132"/>
  <c r="G132"/>
  <c r="F132"/>
  <c r="E132"/>
  <c r="D132"/>
  <c r="H131"/>
  <c r="H174" s="1"/>
  <c r="G131"/>
  <c r="F131"/>
  <c r="F174" s="1"/>
  <c r="E131"/>
  <c r="D131"/>
  <c r="D174" s="1"/>
  <c r="H108"/>
  <c r="G108"/>
  <c r="G88" s="1"/>
  <c r="G152" s="1"/>
  <c r="I179" i="1" s="1"/>
  <c r="F108" i="16"/>
  <c r="E108"/>
  <c r="E88" s="1"/>
  <c r="E152" s="1"/>
  <c r="G179" i="1" s="1"/>
  <c r="D108" i="16"/>
  <c r="D178" s="1"/>
  <c r="H97"/>
  <c r="H88" s="1"/>
  <c r="H152" s="1"/>
  <c r="J179" i="1" s="1"/>
  <c r="G97" i="16"/>
  <c r="I181" i="1" s="1"/>
  <c r="F97" i="16"/>
  <c r="H181" i="1" s="1"/>
  <c r="E97" i="16"/>
  <c r="G181" i="1" s="1"/>
  <c r="D97" i="16"/>
  <c r="D88" s="1"/>
  <c r="D152" s="1"/>
  <c r="H83"/>
  <c r="H154" s="1"/>
  <c r="J176" i="1" s="1"/>
  <c r="K176" s="1"/>
  <c r="G83" i="16"/>
  <c r="G154" s="1"/>
  <c r="I176" i="1" s="1"/>
  <c r="F83" i="16"/>
  <c r="F154" s="1"/>
  <c r="H176" i="1" s="1"/>
  <c r="E83" i="16"/>
  <c r="E154" s="1"/>
  <c r="G176" i="1" s="1"/>
  <c r="D83" i="16"/>
  <c r="D154" s="1"/>
  <c r="H78"/>
  <c r="G78"/>
  <c r="F78"/>
  <c r="E78"/>
  <c r="D78"/>
  <c r="D151" s="1"/>
  <c r="H73"/>
  <c r="G73"/>
  <c r="F73"/>
  <c r="E73"/>
  <c r="D73"/>
  <c r="H72"/>
  <c r="G72"/>
  <c r="G169" s="1"/>
  <c r="F72"/>
  <c r="E72"/>
  <c r="D72"/>
  <c r="H55"/>
  <c r="H149" s="1"/>
  <c r="J153" i="1" s="1"/>
  <c r="G55" i="16"/>
  <c r="G149" s="1"/>
  <c r="I153" i="1" s="1"/>
  <c r="F55" i="16"/>
  <c r="F149" s="1"/>
  <c r="H153" i="1" s="1"/>
  <c r="E55" i="16"/>
  <c r="E149" s="1"/>
  <c r="G153" i="1" s="1"/>
  <c r="D55" i="16"/>
  <c r="D149" s="1"/>
  <c r="H52"/>
  <c r="G52"/>
  <c r="F52"/>
  <c r="E52"/>
  <c r="D52"/>
  <c r="H48"/>
  <c r="G48"/>
  <c r="F48"/>
  <c r="E48"/>
  <c r="D48"/>
  <c r="H44"/>
  <c r="G44"/>
  <c r="F44"/>
  <c r="E44"/>
  <c r="D44"/>
  <c r="H40"/>
  <c r="G40"/>
  <c r="F40"/>
  <c r="E40"/>
  <c r="D40"/>
  <c r="H36"/>
  <c r="G36"/>
  <c r="F36"/>
  <c r="E36"/>
  <c r="D36"/>
  <c r="H32"/>
  <c r="G32"/>
  <c r="F32"/>
  <c r="E32"/>
  <c r="D32"/>
  <c r="H27"/>
  <c r="G27"/>
  <c r="F27"/>
  <c r="E27"/>
  <c r="D27"/>
  <c r="D173" s="1"/>
  <c r="H23"/>
  <c r="G23"/>
  <c r="F23"/>
  <c r="F14" s="1"/>
  <c r="F148" s="1"/>
  <c r="H148" i="1" s="1"/>
  <c r="E23" i="16"/>
  <c r="D23"/>
  <c r="D14" s="1"/>
  <c r="D148" s="1"/>
  <c r="E14"/>
  <c r="E148" s="1"/>
  <c r="G148" i="1" s="1"/>
  <c r="H12" i="16"/>
  <c r="G12"/>
  <c r="F12"/>
  <c r="E12"/>
  <c r="D12"/>
  <c r="H174" i="15"/>
  <c r="G174"/>
  <c r="F174"/>
  <c r="E174"/>
  <c r="D174"/>
  <c r="A147"/>
  <c r="A148" s="1"/>
  <c r="A149" s="1"/>
  <c r="A150" s="1"/>
  <c r="A151" s="1"/>
  <c r="A152" s="1"/>
  <c r="A153" s="1"/>
  <c r="A154" s="1"/>
  <c r="A139"/>
  <c r="A132"/>
  <c r="A133" s="1"/>
  <c r="A134" s="1"/>
  <c r="H104"/>
  <c r="G104"/>
  <c r="F104"/>
  <c r="E104"/>
  <c r="D104"/>
  <c r="H103"/>
  <c r="G103"/>
  <c r="F103"/>
  <c r="E103"/>
  <c r="D103"/>
  <c r="H89"/>
  <c r="H142" s="1"/>
  <c r="G89"/>
  <c r="G142" s="1"/>
  <c r="F89"/>
  <c r="F142" s="1"/>
  <c r="E89"/>
  <c r="E142" s="1"/>
  <c r="D89"/>
  <c r="D142" s="1"/>
  <c r="H84"/>
  <c r="H141" s="1"/>
  <c r="G84"/>
  <c r="G141" s="1"/>
  <c r="F84"/>
  <c r="F141" s="1"/>
  <c r="E84"/>
  <c r="E141" s="1"/>
  <c r="D84"/>
  <c r="D141" s="1"/>
  <c r="B79"/>
  <c r="H75"/>
  <c r="G75"/>
  <c r="F75"/>
  <c r="E75"/>
  <c r="D75"/>
  <c r="D186" s="1"/>
  <c r="H69"/>
  <c r="G69"/>
  <c r="I128" i="1" s="1"/>
  <c r="F69" i="15"/>
  <c r="H128" i="1" s="1"/>
  <c r="E69" i="15"/>
  <c r="G128" i="1" s="1"/>
  <c r="D69" i="15"/>
  <c r="D60" s="1"/>
  <c r="D138" s="1"/>
  <c r="E60"/>
  <c r="E138" s="1"/>
  <c r="G126" i="1" s="1"/>
  <c r="H55" i="15"/>
  <c r="H137" s="1"/>
  <c r="J122" i="1" s="1"/>
  <c r="K122" s="1"/>
  <c r="G55" i="15"/>
  <c r="G137" s="1"/>
  <c r="I122" i="1" s="1"/>
  <c r="F55" i="15"/>
  <c r="F137" s="1"/>
  <c r="H122" i="1" s="1"/>
  <c r="E55" i="15"/>
  <c r="E137" s="1"/>
  <c r="G122" i="1" s="1"/>
  <c r="D55" i="15"/>
  <c r="D137" s="1"/>
  <c r="H50"/>
  <c r="H136" s="1"/>
  <c r="J119" i="1" s="1"/>
  <c r="K119" s="1"/>
  <c r="G50" i="15"/>
  <c r="G136" s="1"/>
  <c r="I119" i="1" s="1"/>
  <c r="F50" i="15"/>
  <c r="F136" s="1"/>
  <c r="H119" i="1" s="1"/>
  <c r="E50" i="15"/>
  <c r="E136" s="1"/>
  <c r="G119" i="1" s="1"/>
  <c r="D50" i="15"/>
  <c r="D136" s="1"/>
  <c r="H47"/>
  <c r="K115" i="1" s="1"/>
  <c r="G47" i="15"/>
  <c r="F47"/>
  <c r="E47"/>
  <c r="D47"/>
  <c r="B47"/>
  <c r="H46"/>
  <c r="H135" s="1"/>
  <c r="J115" i="1" s="1"/>
  <c r="G46" i="15"/>
  <c r="G135" s="1"/>
  <c r="I115" i="1" s="1"/>
  <c r="F46" i="15"/>
  <c r="F135" s="1"/>
  <c r="H115" i="1" s="1"/>
  <c r="E46" i="15"/>
  <c r="E135" s="1"/>
  <c r="G115" i="1" s="1"/>
  <c r="D46" i="15"/>
  <c r="D135" s="1"/>
  <c r="H43"/>
  <c r="G43"/>
  <c r="F43"/>
  <c r="E43"/>
  <c r="D43"/>
  <c r="H40"/>
  <c r="H134" s="1"/>
  <c r="J107" i="1" s="1"/>
  <c r="G40" i="15"/>
  <c r="G134" s="1"/>
  <c r="I107" i="1" s="1"/>
  <c r="F40" i="15"/>
  <c r="F134" s="1"/>
  <c r="H107" i="1" s="1"/>
  <c r="E40" i="15"/>
  <c r="E134" s="1"/>
  <c r="G107" i="1" s="1"/>
  <c r="H38" i="15"/>
  <c r="G38"/>
  <c r="F38"/>
  <c r="E38"/>
  <c r="D38"/>
  <c r="H33"/>
  <c r="G33"/>
  <c r="F33"/>
  <c r="E33"/>
  <c r="D33"/>
  <c r="H32"/>
  <c r="G32"/>
  <c r="F32"/>
  <c r="E32"/>
  <c r="D32"/>
  <c r="H31"/>
  <c r="G31"/>
  <c r="F31"/>
  <c r="E31"/>
  <c r="D31"/>
  <c r="H30"/>
  <c r="G30"/>
  <c r="F30"/>
  <c r="E30"/>
  <c r="D30"/>
  <c r="H29"/>
  <c r="G29"/>
  <c r="F29"/>
  <c r="E29"/>
  <c r="D29"/>
  <c r="H28"/>
  <c r="G28"/>
  <c r="F28"/>
  <c r="E28"/>
  <c r="D28"/>
  <c r="H27"/>
  <c r="G27"/>
  <c r="F27"/>
  <c r="E27"/>
  <c r="D27"/>
  <c r="H26"/>
  <c r="F26"/>
  <c r="D26"/>
  <c r="H15"/>
  <c r="H133" s="1"/>
  <c r="J103" i="1" s="1"/>
  <c r="H10" i="15"/>
  <c r="G10"/>
  <c r="G5" s="1"/>
  <c r="G131" s="1"/>
  <c r="I83" i="1" s="1"/>
  <c r="F10" i="15"/>
  <c r="E10"/>
  <c r="E5" s="1"/>
  <c r="E131" s="1"/>
  <c r="G83" i="1" s="1"/>
  <c r="D10" i="15"/>
  <c r="H12"/>
  <c r="G12"/>
  <c r="F12"/>
  <c r="E12"/>
  <c r="D12"/>
  <c r="H197" i="14"/>
  <c r="G197"/>
  <c r="F197"/>
  <c r="E197"/>
  <c r="D197"/>
  <c r="A176"/>
  <c r="A177" s="1"/>
  <c r="A178" s="1"/>
  <c r="A179" s="1"/>
  <c r="A180" s="1"/>
  <c r="A181" s="1"/>
  <c r="A182" s="1"/>
  <c r="A183" s="1"/>
  <c r="A164"/>
  <c r="A165" s="1"/>
  <c r="A166" s="1"/>
  <c r="A167" s="1"/>
  <c r="A168" s="1"/>
  <c r="A169" s="1"/>
  <c r="A170" s="1"/>
  <c r="A171" s="1"/>
  <c r="H141"/>
  <c r="G141"/>
  <c r="F141"/>
  <c r="E141"/>
  <c r="D141"/>
  <c r="H140"/>
  <c r="G140"/>
  <c r="F140"/>
  <c r="E140"/>
  <c r="D140"/>
  <c r="H116"/>
  <c r="G116"/>
  <c r="F116"/>
  <c r="E116"/>
  <c r="D116"/>
  <c r="D221" s="1"/>
  <c r="H110"/>
  <c r="G110"/>
  <c r="I65" i="1" s="1"/>
  <c r="F110" i="14"/>
  <c r="H65" i="1" s="1"/>
  <c r="E110" i="14"/>
  <c r="G65" i="1" s="1"/>
  <c r="D110" i="14"/>
  <c r="G101"/>
  <c r="G170" s="1"/>
  <c r="I63" i="1" s="1"/>
  <c r="H99" i="14"/>
  <c r="G99"/>
  <c r="F99"/>
  <c r="E99"/>
  <c r="D99"/>
  <c r="H96"/>
  <c r="G96"/>
  <c r="F96"/>
  <c r="E96"/>
  <c r="D96"/>
  <c r="H90"/>
  <c r="G90"/>
  <c r="F90"/>
  <c r="E90"/>
  <c r="D90"/>
  <c r="H84"/>
  <c r="G84"/>
  <c r="G181" s="1"/>
  <c r="F84"/>
  <c r="E84"/>
  <c r="E181" s="1"/>
  <c r="D84"/>
  <c r="H73"/>
  <c r="H168" s="1"/>
  <c r="J56" i="1" s="1"/>
  <c r="K56" s="1"/>
  <c r="G73" i="14"/>
  <c r="G168" s="1"/>
  <c r="I56" i="1" s="1"/>
  <c r="F73" i="14"/>
  <c r="F168" s="1"/>
  <c r="H56" i="1" s="1"/>
  <c r="E73" i="14"/>
  <c r="E168" s="1"/>
  <c r="G56" i="1" s="1"/>
  <c r="D73" i="14"/>
  <c r="D168" s="1"/>
  <c r="H68"/>
  <c r="H167" s="1"/>
  <c r="G68"/>
  <c r="G167" s="1"/>
  <c r="F68"/>
  <c r="F167" s="1"/>
  <c r="E68"/>
  <c r="E167" s="1"/>
  <c r="D68"/>
  <c r="D167" s="1"/>
  <c r="H65"/>
  <c r="G65"/>
  <c r="F65"/>
  <c r="E65"/>
  <c r="D65"/>
  <c r="H64"/>
  <c r="G64"/>
  <c r="F64"/>
  <c r="E64"/>
  <c r="D64"/>
  <c r="H60"/>
  <c r="G60"/>
  <c r="F60"/>
  <c r="E60"/>
  <c r="D60"/>
  <c r="G56"/>
  <c r="G165" s="1"/>
  <c r="I43" i="1" s="1"/>
  <c r="F56" i="14"/>
  <c r="F165" s="1"/>
  <c r="H43" i="1" s="1"/>
  <c r="E56" i="14"/>
  <c r="E165" s="1"/>
  <c r="G43" i="1" s="1"/>
  <c r="H48" i="14"/>
  <c r="H211" s="1"/>
  <c r="G48"/>
  <c r="I33" i="1" s="1"/>
  <c r="F48" i="14"/>
  <c r="H33" i="1" s="1"/>
  <c r="E48" i="14"/>
  <c r="G33" i="1" s="1"/>
  <c r="D48" i="14"/>
  <c r="D211" s="1"/>
  <c r="H39"/>
  <c r="K32" i="1" s="1"/>
  <c r="G39" i="14"/>
  <c r="G210" s="1"/>
  <c r="F39"/>
  <c r="E39"/>
  <c r="E210" s="1"/>
  <c r="D39"/>
  <c r="D210" s="1"/>
  <c r="H38"/>
  <c r="G38"/>
  <c r="F38"/>
  <c r="E38"/>
  <c r="D38"/>
  <c r="H164"/>
  <c r="J31" i="1" s="1"/>
  <c r="G164" i="14"/>
  <c r="I31" i="1" s="1"/>
  <c r="F164" i="14"/>
  <c r="H31" i="1" s="1"/>
  <c r="E164" i="14"/>
  <c r="G31" i="1" s="1"/>
  <c r="D164" i="14"/>
  <c r="H29"/>
  <c r="K23" i="1" s="1"/>
  <c r="G29" i="14"/>
  <c r="G186" s="1"/>
  <c r="F29"/>
  <c r="H23" i="1" s="1"/>
  <c r="E29" i="14"/>
  <c r="E186" s="1"/>
  <c r="D29"/>
  <c r="H22"/>
  <c r="G22"/>
  <c r="F22"/>
  <c r="E22"/>
  <c r="D22"/>
  <c r="H18"/>
  <c r="I28" s="1"/>
  <c r="G18"/>
  <c r="F18"/>
  <c r="E18"/>
  <c r="D18"/>
  <c r="H14"/>
  <c r="I27" s="1"/>
  <c r="G14"/>
  <c r="F14"/>
  <c r="E14"/>
  <c r="D14"/>
  <c r="H10"/>
  <c r="G10"/>
  <c r="F10"/>
  <c r="F23" s="1"/>
  <c r="F66" s="1"/>
  <c r="F189" s="1"/>
  <c r="E10"/>
  <c r="D10"/>
  <c r="D23" s="1"/>
  <c r="D66" s="1"/>
  <c r="D189" s="1"/>
  <c r="D12" i="13"/>
  <c r="D11"/>
  <c r="F157" i="10"/>
  <c r="M197" i="1"/>
  <c r="M202"/>
  <c r="M207"/>
  <c r="K54"/>
  <c r="K68"/>
  <c r="G14" i="16" l="1"/>
  <c r="G148" s="1"/>
  <c r="I148" i="1" s="1"/>
  <c r="G60" i="15"/>
  <c r="G138" s="1"/>
  <c r="I126" i="1" s="1"/>
  <c r="E101" i="14"/>
  <c r="E170" s="1"/>
  <c r="G63" i="1" s="1"/>
  <c r="D101" i="14"/>
  <c r="D170" s="1"/>
  <c r="H101"/>
  <c r="H170" s="1"/>
  <c r="J63" i="1" s="1"/>
  <c r="H60" i="15"/>
  <c r="H138" s="1"/>
  <c r="J126" i="1" s="1"/>
  <c r="I67" i="15"/>
  <c r="I63"/>
  <c r="I68"/>
  <c r="D186" i="14"/>
  <c r="I23" i="16"/>
  <c r="D53"/>
  <c r="F53"/>
  <c r="H53"/>
  <c r="D170"/>
  <c r="F170"/>
  <c r="H170"/>
  <c r="G174"/>
  <c r="E218" i="14"/>
  <c r="G218"/>
  <c r="I96" i="16"/>
  <c r="I94"/>
  <c r="I92"/>
  <c r="I95"/>
  <c r="I93"/>
  <c r="I91"/>
  <c r="H34" i="15"/>
  <c r="M104" i="1"/>
  <c r="M105" s="1"/>
  <c r="M108"/>
  <c r="M109" s="1"/>
  <c r="K103"/>
  <c r="H40"/>
  <c r="H32"/>
  <c r="I107" i="14"/>
  <c r="I106"/>
  <c r="J40" i="1"/>
  <c r="J32"/>
  <c r="E219" i="14"/>
  <c r="G44" i="1"/>
  <c r="G219" i="14"/>
  <c r="I44" i="1"/>
  <c r="F221" i="14"/>
  <c r="H64" i="1"/>
  <c r="H221" i="14"/>
  <c r="J64" i="1"/>
  <c r="G84"/>
  <c r="G86"/>
  <c r="I84"/>
  <c r="I86"/>
  <c r="F186" i="15"/>
  <c r="H127" i="1"/>
  <c r="H186" i="15"/>
  <c r="J127" i="1"/>
  <c r="K129"/>
  <c r="E180" i="15"/>
  <c r="E181"/>
  <c r="E168"/>
  <c r="G180"/>
  <c r="G181"/>
  <c r="G168"/>
  <c r="E176" i="16"/>
  <c r="G144" i="1"/>
  <c r="E5" i="16"/>
  <c r="E147" s="1"/>
  <c r="G143" i="1" s="1"/>
  <c r="G176" i="16"/>
  <c r="G5"/>
  <c r="G147" s="1"/>
  <c r="I143" i="1" s="1"/>
  <c r="I144"/>
  <c r="F173" i="16"/>
  <c r="H149" i="1"/>
  <c r="F151" i="16"/>
  <c r="H172" i="1"/>
  <c r="H151" i="16"/>
  <c r="J172" i="1"/>
  <c r="F178" i="16"/>
  <c r="H180" i="1"/>
  <c r="H178" i="16"/>
  <c r="J180" i="1"/>
  <c r="I108" i="16"/>
  <c r="K182" i="1" s="1"/>
  <c r="F149" i="15"/>
  <c r="F148"/>
  <c r="H149"/>
  <c r="H148"/>
  <c r="M144" i="1"/>
  <c r="M23"/>
  <c r="E23" i="14"/>
  <c r="E66" s="1"/>
  <c r="E189" s="1"/>
  <c r="G23"/>
  <c r="G66" s="1"/>
  <c r="G189" s="1"/>
  <c r="D98"/>
  <c r="D78" s="1"/>
  <c r="D169" s="1"/>
  <c r="F98"/>
  <c r="F78" s="1"/>
  <c r="F169" s="1"/>
  <c r="H60" i="1" s="1"/>
  <c r="H98" i="14"/>
  <c r="H78" s="1"/>
  <c r="H169" s="1"/>
  <c r="J60" i="1" s="1"/>
  <c r="K60" s="1"/>
  <c r="F101" i="14"/>
  <c r="F170" s="1"/>
  <c r="H63" i="1" s="1"/>
  <c r="D202" i="14"/>
  <c r="F202"/>
  <c r="H202"/>
  <c r="F60" i="15"/>
  <c r="F138" s="1"/>
  <c r="H126" i="1" s="1"/>
  <c r="H14" i="16"/>
  <c r="H148" s="1"/>
  <c r="J148" i="1" s="1"/>
  <c r="E53" i="16"/>
  <c r="G53"/>
  <c r="D169"/>
  <c r="F169"/>
  <c r="H169"/>
  <c r="E170"/>
  <c r="G170"/>
  <c r="F88"/>
  <c r="F152" s="1"/>
  <c r="H179" i="1" s="1"/>
  <c r="E174" i="16"/>
  <c r="D175"/>
  <c r="F175"/>
  <c r="H175"/>
  <c r="G23" i="1"/>
  <c r="I23"/>
  <c r="D5" i="14"/>
  <c r="D163" s="1"/>
  <c r="F5"/>
  <c r="F163" s="1"/>
  <c r="H22" i="1" s="1"/>
  <c r="F181" i="14"/>
  <c r="H181"/>
  <c r="F186"/>
  <c r="E191"/>
  <c r="G191"/>
  <c r="D194"/>
  <c r="F194"/>
  <c r="H194"/>
  <c r="E201"/>
  <c r="G67" i="1" s="1"/>
  <c r="G201" i="14"/>
  <c r="I67" i="1" s="1"/>
  <c r="D209" i="14"/>
  <c r="F209"/>
  <c r="H209"/>
  <c r="F211"/>
  <c r="E214"/>
  <c r="G214"/>
  <c r="D218"/>
  <c r="F218"/>
  <c r="H218"/>
  <c r="H23"/>
  <c r="H66" s="1"/>
  <c r="H189" s="1"/>
  <c r="I26"/>
  <c r="G40" i="1"/>
  <c r="G32"/>
  <c r="I40"/>
  <c r="I32"/>
  <c r="J45" i="14"/>
  <c r="J47"/>
  <c r="J42"/>
  <c r="J44"/>
  <c r="J46"/>
  <c r="J43"/>
  <c r="J33" i="1"/>
  <c r="M32" s="1"/>
  <c r="M40" s="1"/>
  <c r="F219" i="14"/>
  <c r="H44" i="1"/>
  <c r="H45" s="1"/>
  <c r="I109" i="14"/>
  <c r="J65" i="1"/>
  <c r="I104" i="14"/>
  <c r="E221"/>
  <c r="G64" i="1"/>
  <c r="G221" i="14"/>
  <c r="I64" i="1"/>
  <c r="H86"/>
  <c r="H84"/>
  <c r="J86"/>
  <c r="K84"/>
  <c r="J84"/>
  <c r="M116"/>
  <c r="M117" s="1"/>
  <c r="J128"/>
  <c r="E186" i="15"/>
  <c r="G127" i="1"/>
  <c r="G186" i="15"/>
  <c r="I127" i="1"/>
  <c r="D181" i="15"/>
  <c r="D168"/>
  <c r="F181"/>
  <c r="F168"/>
  <c r="H181"/>
  <c r="H168"/>
  <c r="D177" i="16"/>
  <c r="D5"/>
  <c r="D147" s="1"/>
  <c r="F177"/>
  <c r="F5"/>
  <c r="F147" s="1"/>
  <c r="H143" i="1" s="1"/>
  <c r="H144"/>
  <c r="H177" i="16"/>
  <c r="H5"/>
  <c r="H147" s="1"/>
  <c r="J143" i="1" s="1"/>
  <c r="J144"/>
  <c r="K144"/>
  <c r="K143" s="1"/>
  <c r="E173" i="16"/>
  <c r="G149" i="1"/>
  <c r="G173" i="16"/>
  <c r="I149" i="1"/>
  <c r="E151" i="16"/>
  <c r="G172" i="1"/>
  <c r="J181"/>
  <c r="E178" i="16"/>
  <c r="G180" i="1"/>
  <c r="G178" i="16"/>
  <c r="I180" i="1"/>
  <c r="E149" i="15"/>
  <c r="E148"/>
  <c r="G149"/>
  <c r="G148"/>
  <c r="E169" i="16"/>
  <c r="E175"/>
  <c r="G175"/>
  <c r="D249" i="17"/>
  <c r="F249"/>
  <c r="H249"/>
  <c r="E5" i="14"/>
  <c r="E163" s="1"/>
  <c r="G22" i="1" s="1"/>
  <c r="G5" i="14"/>
  <c r="G163" s="1"/>
  <c r="I22" i="1" s="1"/>
  <c r="D191" i="14"/>
  <c r="F191"/>
  <c r="H191"/>
  <c r="D193"/>
  <c r="E194"/>
  <c r="G194"/>
  <c r="D201"/>
  <c r="F201"/>
  <c r="H67" i="1" s="1"/>
  <c r="H201" i="14"/>
  <c r="J67" i="1" s="1"/>
  <c r="K67" s="1"/>
  <c r="E209" i="14"/>
  <c r="G209"/>
  <c r="F210"/>
  <c r="H210"/>
  <c r="E211"/>
  <c r="G211"/>
  <c r="H173" i="16"/>
  <c r="J149" i="1"/>
  <c r="G151" i="16"/>
  <c r="I172" i="1"/>
  <c r="D34" i="15"/>
  <c r="F34"/>
  <c r="F15" s="1"/>
  <c r="F133" s="1"/>
  <c r="H103" i="1" s="1"/>
  <c r="J27" i="14"/>
  <c r="J26"/>
  <c r="J28"/>
  <c r="J23" i="1"/>
  <c r="H5" i="14"/>
  <c r="H163" s="1"/>
  <c r="J22" i="1" s="1"/>
  <c r="H186" i="14"/>
  <c r="H219"/>
  <c r="J44" i="1"/>
  <c r="K44" s="1"/>
  <c r="H56" i="14"/>
  <c r="H165" s="1"/>
  <c r="J43" i="1" s="1"/>
  <c r="K43" s="1"/>
  <c r="E25" i="15"/>
  <c r="G25"/>
  <c r="D5"/>
  <c r="D131" s="1"/>
  <c r="G10" i="17"/>
  <c r="G229" s="1"/>
  <c r="E10"/>
  <c r="E229" s="1"/>
  <c r="E209"/>
  <c r="E245" s="1"/>
  <c r="E257" s="1"/>
  <c r="G209"/>
  <c r="G245" s="1"/>
  <c r="G257" s="1"/>
  <c r="D210"/>
  <c r="D246" s="1"/>
  <c r="D258" s="1"/>
  <c r="F210"/>
  <c r="F246" s="1"/>
  <c r="F258" s="1"/>
  <c r="H210"/>
  <c r="H246" s="1"/>
  <c r="H258" s="1"/>
  <c r="E211"/>
  <c r="G211"/>
  <c r="D212"/>
  <c r="F212"/>
  <c r="H212"/>
  <c r="E222"/>
  <c r="G222"/>
  <c r="D223"/>
  <c r="F223"/>
  <c r="H223"/>
  <c r="E226"/>
  <c r="G226"/>
  <c r="E230"/>
  <c r="D10"/>
  <c r="F10"/>
  <c r="H10"/>
  <c r="D209"/>
  <c r="D245" s="1"/>
  <c r="D257" s="1"/>
  <c r="F209"/>
  <c r="F245" s="1"/>
  <c r="F257" s="1"/>
  <c r="H209"/>
  <c r="H245" s="1"/>
  <c r="H257" s="1"/>
  <c r="E210"/>
  <c r="E246" s="1"/>
  <c r="E258" s="1"/>
  <c r="G210"/>
  <c r="G246" s="1"/>
  <c r="G258" s="1"/>
  <c r="D211"/>
  <c r="F211"/>
  <c r="H211"/>
  <c r="D76" i="16"/>
  <c r="D60" s="1"/>
  <c r="D150" s="1"/>
  <c r="F76"/>
  <c r="H76"/>
  <c r="D112"/>
  <c r="D110" s="1"/>
  <c r="D153" s="1"/>
  <c r="F112"/>
  <c r="F110" s="1"/>
  <c r="F153" s="1"/>
  <c r="H184" i="1" s="1"/>
  <c r="H112" i="16"/>
  <c r="H110" s="1"/>
  <c r="H153" s="1"/>
  <c r="J184" i="1" s="1"/>
  <c r="K184" s="1"/>
  <c r="D176" i="16"/>
  <c r="F176"/>
  <c r="H176"/>
  <c r="E177"/>
  <c r="G177"/>
  <c r="E76"/>
  <c r="G76"/>
  <c r="E112"/>
  <c r="E110" s="1"/>
  <c r="E153" s="1"/>
  <c r="G184" i="1" s="1"/>
  <c r="G112" i="16"/>
  <c r="G110" s="1"/>
  <c r="G153" s="1"/>
  <c r="I184" i="1" s="1"/>
  <c r="D11" i="15"/>
  <c r="D132" s="1"/>
  <c r="D162"/>
  <c r="F11"/>
  <c r="F132" s="1"/>
  <c r="H94" i="1" s="1"/>
  <c r="F162" i="15"/>
  <c r="H11"/>
  <c r="H132" s="1"/>
  <c r="J94" i="1" s="1"/>
  <c r="H162" i="15"/>
  <c r="D171"/>
  <c r="D15"/>
  <c r="D133" s="1"/>
  <c r="D44"/>
  <c r="D170" s="1"/>
  <c r="F171"/>
  <c r="F44"/>
  <c r="F179" s="1"/>
  <c r="H171"/>
  <c r="H44"/>
  <c r="H179" s="1"/>
  <c r="F170"/>
  <c r="E162"/>
  <c r="E11"/>
  <c r="E132" s="1"/>
  <c r="G94" i="1" s="1"/>
  <c r="G162" i="15"/>
  <c r="G11"/>
  <c r="G132" s="1"/>
  <c r="I94" i="1" s="1"/>
  <c r="F5" i="15"/>
  <c r="F131" s="1"/>
  <c r="H83" i="1" s="1"/>
  <c r="H5" i="15"/>
  <c r="H131" s="1"/>
  <c r="J83" i="1" s="1"/>
  <c r="D25" i="15"/>
  <c r="F25"/>
  <c r="H25"/>
  <c r="E26"/>
  <c r="E34" s="1"/>
  <c r="G26"/>
  <c r="G34" s="1"/>
  <c r="D79"/>
  <c r="D77" s="1"/>
  <c r="D139" s="1"/>
  <c r="F79"/>
  <c r="F77" s="1"/>
  <c r="F139" s="1"/>
  <c r="H131" i="1" s="1"/>
  <c r="H79" i="15"/>
  <c r="H77" s="1"/>
  <c r="H139" s="1"/>
  <c r="J131" i="1" s="1"/>
  <c r="K131" s="1"/>
  <c r="D180" i="15"/>
  <c r="F180"/>
  <c r="H180"/>
  <c r="E79"/>
  <c r="E77" s="1"/>
  <c r="E139" s="1"/>
  <c r="G131" i="1" s="1"/>
  <c r="G79" i="15"/>
  <c r="G77" s="1"/>
  <c r="G139" s="1"/>
  <c r="I131" i="1" s="1"/>
  <c r="D216" i="14"/>
  <c r="D206"/>
  <c r="D56"/>
  <c r="D165" s="1"/>
  <c r="F216"/>
  <c r="F206"/>
  <c r="H216"/>
  <c r="H206"/>
  <c r="D219"/>
  <c r="E216"/>
  <c r="E206"/>
  <c r="G216"/>
  <c r="G206"/>
  <c r="E203"/>
  <c r="G203"/>
  <c r="E53"/>
  <c r="G53"/>
  <c r="D54"/>
  <c r="F54"/>
  <c r="H54"/>
  <c r="E98"/>
  <c r="E78" s="1"/>
  <c r="E169" s="1"/>
  <c r="G60" i="1" s="1"/>
  <c r="G98" i="14"/>
  <c r="G78" s="1"/>
  <c r="G169" s="1"/>
  <c r="I60" i="1" s="1"/>
  <c r="D120" i="14"/>
  <c r="D118" s="1"/>
  <c r="F120"/>
  <c r="F118" s="1"/>
  <c r="F171" s="1"/>
  <c r="H71" i="1" s="1"/>
  <c r="H120" i="14"/>
  <c r="H118" s="1"/>
  <c r="H171" s="1"/>
  <c r="J71" i="1" s="1"/>
  <c r="K71" s="1"/>
  <c r="E202" i="14"/>
  <c r="G202"/>
  <c r="D203"/>
  <c r="F203"/>
  <c r="H203"/>
  <c r="D53"/>
  <c r="F53"/>
  <c r="F52" s="1"/>
  <c r="F166" s="1"/>
  <c r="H39" i="1" s="1"/>
  <c r="H53" i="14"/>
  <c r="E54"/>
  <c r="G54"/>
  <c r="E120"/>
  <c r="G120"/>
  <c r="G118" s="1"/>
  <c r="G171" s="1"/>
  <c r="I71" i="1" s="1"/>
  <c r="G206"/>
  <c r="K28" i="14" l="1"/>
  <c r="K26"/>
  <c r="K27"/>
  <c r="K65" i="1"/>
  <c r="H253" i="17"/>
  <c r="H259" s="1"/>
  <c r="D253"/>
  <c r="D259" s="1"/>
  <c r="M149" i="1"/>
  <c r="K181" s="1"/>
  <c r="I24" i="16"/>
  <c r="M34" i="1"/>
  <c r="K34"/>
  <c r="H34"/>
  <c r="K132"/>
  <c r="K69"/>
  <c r="K149"/>
  <c r="G60" i="16"/>
  <c r="G150" s="1"/>
  <c r="I164" i="1" s="1"/>
  <c r="I165"/>
  <c r="H60" i="16"/>
  <c r="H150" s="1"/>
  <c r="J164" i="1" s="1"/>
  <c r="J165"/>
  <c r="K165" s="1"/>
  <c r="E60" i="16"/>
  <c r="E150" s="1"/>
  <c r="G164" i="1" s="1"/>
  <c r="G165"/>
  <c r="F60" i="16"/>
  <c r="F150" s="1"/>
  <c r="H164" i="1" s="1"/>
  <c r="H165"/>
  <c r="H166" s="1"/>
  <c r="K83"/>
  <c r="M85"/>
  <c r="M132"/>
  <c r="K127"/>
  <c r="H52" i="14"/>
  <c r="H166" s="1"/>
  <c r="J39" i="1" s="1"/>
  <c r="D52" i="14"/>
  <c r="D166" s="1"/>
  <c r="K128" i="1"/>
  <c r="K180"/>
  <c r="I45"/>
  <c r="J34"/>
  <c r="J41"/>
  <c r="M145"/>
  <c r="I116" i="14"/>
  <c r="K66" i="1" s="1"/>
  <c r="G201"/>
  <c r="J85"/>
  <c r="I85"/>
  <c r="G196"/>
  <c r="K22"/>
  <c r="M24"/>
  <c r="K25" s="1"/>
  <c r="J45"/>
  <c r="K45"/>
  <c r="J145"/>
  <c r="H150"/>
  <c r="F253" i="17"/>
  <c r="F259" s="1"/>
  <c r="G253"/>
  <c r="G259" s="1"/>
  <c r="G230"/>
  <c r="E253"/>
  <c r="E259" s="1"/>
  <c r="F230"/>
  <c r="F229"/>
  <c r="H230"/>
  <c r="H229"/>
  <c r="D230"/>
  <c r="D229"/>
  <c r="E44" i="15"/>
  <c r="E171"/>
  <c r="E15"/>
  <c r="E133" s="1"/>
  <c r="G103" i="1" s="1"/>
  <c r="D179" i="15"/>
  <c r="D40"/>
  <c r="D134" s="1"/>
  <c r="H170"/>
  <c r="G44"/>
  <c r="G171"/>
  <c r="G15"/>
  <c r="G133" s="1"/>
  <c r="I103" i="1" s="1"/>
  <c r="E118" i="14"/>
  <c r="E171" s="1"/>
  <c r="G71" i="1" s="1"/>
  <c r="D171" i="14"/>
  <c r="G52"/>
  <c r="G166" s="1"/>
  <c r="I39" i="1" s="1"/>
  <c r="E52" i="14"/>
  <c r="E166" s="1"/>
  <c r="G39" i="1" s="1"/>
  <c r="J24"/>
  <c r="H145"/>
  <c r="K85"/>
  <c r="H85"/>
  <c r="I34"/>
  <c r="J150"/>
  <c r="I24"/>
  <c r="H24"/>
  <c r="H41"/>
  <c r="I41"/>
  <c r="I150"/>
  <c r="K145"/>
  <c r="I145"/>
  <c r="K29" i="14" l="1"/>
  <c r="K30" s="1"/>
  <c r="I64" s="1"/>
  <c r="K153" i="1"/>
  <c r="M155"/>
  <c r="M156" s="1"/>
  <c r="M157" s="1"/>
  <c r="K158" s="1"/>
  <c r="M165"/>
  <c r="M173" s="1"/>
  <c r="K39"/>
  <c r="J49" i="14" s="1"/>
  <c r="I49" s="1"/>
  <c r="K146" i="1"/>
  <c r="K126"/>
  <c r="K185"/>
  <c r="I190" s="1"/>
  <c r="K179"/>
  <c r="K89"/>
  <c r="K87"/>
  <c r="G138" s="1"/>
  <c r="J166"/>
  <c r="I166"/>
  <c r="G179" i="15"/>
  <c r="G170"/>
  <c r="E179"/>
  <c r="E170"/>
  <c r="K24" i="1"/>
  <c r="I60" i="14" l="1"/>
  <c r="I22"/>
  <c r="I23" s="1"/>
  <c r="G190" i="1"/>
  <c r="G208" s="1"/>
  <c r="K172"/>
  <c r="I48" i="14"/>
  <c r="K40" i="1" s="1"/>
  <c r="M41" s="1"/>
  <c r="K88"/>
  <c r="I138" s="1"/>
  <c r="I203" s="1"/>
  <c r="K166"/>
  <c r="K164"/>
  <c r="M166"/>
  <c r="K150"/>
  <c r="K148"/>
  <c r="M150"/>
  <c r="I208"/>
  <c r="I66" i="14" l="1"/>
  <c r="K64" i="1" s="1"/>
  <c r="K63" s="1"/>
  <c r="K41"/>
  <c r="I43" i="14"/>
  <c r="I42"/>
  <c r="I51"/>
  <c r="I44"/>
  <c r="I46"/>
  <c r="I45"/>
  <c r="I47"/>
  <c r="M174" i="1"/>
  <c r="K109"/>
  <c r="K190"/>
  <c r="K208" s="1"/>
  <c r="M72" l="1"/>
  <c r="M44"/>
  <c r="M45" s="1"/>
  <c r="K46" s="1"/>
  <c r="G78" s="1"/>
  <c r="G198" s="1"/>
  <c r="K72"/>
  <c r="K33"/>
  <c r="K31" s="1"/>
  <c r="K138"/>
  <c r="K203" s="1"/>
  <c r="G203"/>
  <c r="K47" l="1"/>
  <c r="I78" s="1"/>
  <c r="I198" s="1"/>
  <c r="K78" l="1"/>
  <c r="K198" s="1"/>
</calcChain>
</file>

<file path=xl/comments1.xml><?xml version="1.0" encoding="utf-8"?>
<comments xmlns="http://schemas.openxmlformats.org/spreadsheetml/2006/main">
  <authors>
    <author/>
  </authors>
  <commentList>
    <comment ref="B54" authorId="0">
      <text>
        <r>
          <rPr>
            <b/>
            <sz val="8"/>
            <color indexed="8"/>
            <rFont val="Tahoma"/>
            <family val="2"/>
          </rPr>
          <t xml:space="preserve">Anitha
</t>
        </r>
        <r>
          <rPr>
            <sz val="8"/>
            <color indexed="8"/>
            <rFont val="Tahoma"/>
            <family val="2"/>
          </rPr>
          <t>Renovation means application of certain material like epoxy resine, cement mortar to strengthen the pipe</t>
        </r>
      </text>
    </comment>
    <comment ref="B105" authorId="0">
      <text>
        <r>
          <rPr>
            <b/>
            <sz val="8"/>
            <color indexed="8"/>
            <rFont val="Tahoma"/>
            <family val="2"/>
          </rPr>
          <t xml:space="preserve">Anitha
</t>
        </r>
        <r>
          <rPr>
            <sz val="8"/>
            <color indexed="8"/>
            <rFont val="Tahoma"/>
            <family val="2"/>
          </rPr>
          <t>Renovation means application of certain material like epoxy resine, cement mortar to strengthen the pipe</t>
        </r>
      </text>
    </comment>
  </commentList>
</comments>
</file>

<file path=xl/comments2.xml><?xml version="1.0" encoding="utf-8"?>
<comments xmlns="http://schemas.openxmlformats.org/spreadsheetml/2006/main">
  <authors>
    <author>PAS</author>
  </authors>
  <commentList>
    <comment ref="F26" authorId="0">
      <text>
        <r>
          <rPr>
            <b/>
            <sz val="8"/>
            <color indexed="81"/>
            <rFont val="Tahoma"/>
            <family val="2"/>
          </rPr>
          <t>PAS:</t>
        </r>
        <r>
          <rPr>
            <sz val="8"/>
            <color indexed="81"/>
            <rFont val="Tahoma"/>
            <family val="2"/>
          </rPr>
          <t xml:space="preserve">
Indicative cost</t>
        </r>
      </text>
    </comment>
    <comment ref="F27" authorId="0">
      <text>
        <r>
          <rPr>
            <b/>
            <sz val="8"/>
            <color indexed="81"/>
            <rFont val="Tahoma"/>
            <family val="2"/>
          </rPr>
          <t>PAS:</t>
        </r>
        <r>
          <rPr>
            <sz val="8"/>
            <color indexed="81"/>
            <rFont val="Tahoma"/>
            <family val="2"/>
          </rPr>
          <t xml:space="preserve">
Indicative cost</t>
        </r>
      </text>
    </comment>
    <comment ref="F28" authorId="0">
      <text>
        <r>
          <rPr>
            <b/>
            <sz val="8"/>
            <color indexed="81"/>
            <rFont val="Tahoma"/>
            <family val="2"/>
          </rPr>
          <t>PAS:</t>
        </r>
        <r>
          <rPr>
            <sz val="8"/>
            <color indexed="81"/>
            <rFont val="Tahoma"/>
            <family val="2"/>
          </rPr>
          <t xml:space="preserve">
Cost for network laid down Rs/km</t>
        </r>
      </text>
    </comment>
    <comment ref="F38" authorId="0">
      <text>
        <r>
          <rPr>
            <b/>
            <sz val="8"/>
            <color indexed="81"/>
            <rFont val="Tahoma"/>
            <family val="2"/>
          </rPr>
          <t>PAS:</t>
        </r>
        <r>
          <rPr>
            <sz val="8"/>
            <color indexed="81"/>
            <rFont val="Tahoma"/>
            <family val="2"/>
          </rPr>
          <t xml:space="preserve">
Indicative cost</t>
        </r>
      </text>
    </comment>
  </commentList>
</comments>
</file>

<file path=xl/sharedStrings.xml><?xml version="1.0" encoding="utf-8"?>
<sst xmlns="http://schemas.openxmlformats.org/spreadsheetml/2006/main" count="2843" uniqueCount="1185">
  <si>
    <t>Coverage of individual water supply connections (%)</t>
  </si>
  <si>
    <t>Number of households served with individual connections</t>
  </si>
  <si>
    <t>Per capita supply at consumption end (lpcd)</t>
  </si>
  <si>
    <t>Water production requirement (MLD)</t>
  </si>
  <si>
    <t>Non revenue water (%)</t>
  </si>
  <si>
    <t>Continuity of supply (Hours of supply in a day)</t>
  </si>
  <si>
    <t>Days of supply in a month</t>
  </si>
  <si>
    <t>Quality of water supplied (%)</t>
  </si>
  <si>
    <t>Extent of functional metering of water supply connections (%)</t>
  </si>
  <si>
    <t>Efficiency in redressal of customer complaints (%)</t>
  </si>
  <si>
    <t>Efficiency in collection of current water supply related charges (%)</t>
  </si>
  <si>
    <t>2009-10</t>
  </si>
  <si>
    <t>2010-11</t>
  </si>
  <si>
    <t>Growth rate</t>
  </si>
  <si>
    <t>2011-12</t>
  </si>
  <si>
    <t>KPIs and action areas</t>
  </si>
  <si>
    <t>Per capita supply of water</t>
  </si>
  <si>
    <t>Water saved by reducing NRW (MLD)</t>
  </si>
  <si>
    <t>Quality of water supplied</t>
  </si>
  <si>
    <t>Number of water supply connections metered</t>
  </si>
  <si>
    <t>Electricity Charges/Fuel Costs</t>
  </si>
  <si>
    <t>Chemical Costs</t>
  </si>
  <si>
    <t>Bulk (Raw/Treated) Water Charges</t>
  </si>
  <si>
    <t>Repairs/Maintenance Costs</t>
  </si>
  <si>
    <t>Other Costs</t>
  </si>
  <si>
    <t>Total Operating Expenditure</t>
  </si>
  <si>
    <t>Total Revenue Demand for previous year</t>
  </si>
  <si>
    <t>Coverage of wastewater network services</t>
  </si>
  <si>
    <t xml:space="preserve">Properties with sewer connections </t>
  </si>
  <si>
    <t>Coverage of Toilets</t>
  </si>
  <si>
    <t>Collection efficiency of wastewater networks</t>
  </si>
  <si>
    <t>Adequacy of wastewater treatment capacity</t>
  </si>
  <si>
    <t>Efficiency in redressal of customer complaints</t>
  </si>
  <si>
    <t>Total Number of Properties in the City</t>
  </si>
  <si>
    <t>Total Number of Properties with access to toilets</t>
  </si>
  <si>
    <t>Volume of water consumed from any Non ULB water sources</t>
  </si>
  <si>
    <t>Total Waste Water Generated</t>
  </si>
  <si>
    <t xml:space="preserve"> ADEQUACY OF SEWAGE TREATMENT CAPACITY</t>
  </si>
  <si>
    <t>EXTENT OF REUSE AND RECYCLING OF SEWAGE</t>
  </si>
  <si>
    <t>QUALITY OF SEWAGE TREATMENT</t>
  </si>
  <si>
    <t>EFFICIENCY IN REDRESSAL OF CUSTOMER COMPLAINTS</t>
  </si>
  <si>
    <t>Quality of sewage treatment</t>
  </si>
  <si>
    <t>EXTENT OF COST RECOVERY IN SEWAGE MANAGEMENT</t>
  </si>
  <si>
    <t>Total Annual Operating Expenses</t>
  </si>
  <si>
    <t>Others</t>
  </si>
  <si>
    <t>EFFICIENCY IN COLLECTION OF SEWAGE CHARGES</t>
  </si>
  <si>
    <t xml:space="preserve">Collection against current demand </t>
  </si>
  <si>
    <t>WATER SUPPLY</t>
  </si>
  <si>
    <t>Total volume of water lost (MLD)</t>
  </si>
  <si>
    <t>Beneficiary contribution for toilet construction (%)</t>
  </si>
  <si>
    <t>2012-13</t>
  </si>
  <si>
    <t>% share of meter expenditure to be met by consumer</t>
  </si>
  <si>
    <t>Households dependent on functional community toilets</t>
  </si>
  <si>
    <t>% of toilet facilities met by individual toilets per properties</t>
  </si>
  <si>
    <t>TARGET</t>
  </si>
  <si>
    <t>% of toilet facilities to be met by individual toilets</t>
  </si>
  <si>
    <t>0-50%</t>
  </si>
  <si>
    <t>50-90%</t>
  </si>
  <si>
    <t>90-100%</t>
  </si>
  <si>
    <t>&gt;30%</t>
  </si>
  <si>
    <t>20-30%</t>
  </si>
  <si>
    <t>&lt;20%</t>
  </si>
  <si>
    <t>0-2</t>
  </si>
  <si>
    <t>15-24</t>
  </si>
  <si>
    <t>2-15</t>
  </si>
  <si>
    <t>25-30</t>
  </si>
  <si>
    <t>RED</t>
  </si>
  <si>
    <t>YELLOW</t>
  </si>
  <si>
    <t>GREEN</t>
  </si>
  <si>
    <t>0-60%</t>
  </si>
  <si>
    <t>60-80%</t>
  </si>
  <si>
    <t>80-100%</t>
  </si>
  <si>
    <t>0-5%</t>
  </si>
  <si>
    <t>5-25%</t>
  </si>
  <si>
    <t>25-100%</t>
  </si>
  <si>
    <t>0-15</t>
  </si>
  <si>
    <t>15-25</t>
  </si>
  <si>
    <t>50-80%</t>
  </si>
  <si>
    <t>50-100%</t>
  </si>
  <si>
    <t>Income generated/ savings through improvement actions</t>
  </si>
  <si>
    <t xml:space="preserve">Additional funds requirement </t>
  </si>
  <si>
    <t>USER GUIDE</t>
  </si>
  <si>
    <t>BRIEF DESCRIPTION OF THE MODEL</t>
  </si>
  <si>
    <t>Number of Commercial and other establishments (offices, institutions, markets,Hotels and Restaurants)(Present Year)</t>
  </si>
  <si>
    <t>Total Number of Households and Establishments covered by Door to Door Collection</t>
  </si>
  <si>
    <t>EFFICIENCY OF COLLECTION OF MUNICIPAL SOLID WASTE</t>
  </si>
  <si>
    <t>Total waste received at processing/disposal facility and recycled</t>
  </si>
  <si>
    <t>EXTENT OF SEGREGATION OF MUNICIPAL SOLID WASTE</t>
  </si>
  <si>
    <t>Quantity of waste arriving at Processing/ Disposal facility in segregated manner</t>
  </si>
  <si>
    <t>Quantity of waste taken away by recyclers from intermediate points</t>
  </si>
  <si>
    <t>Quanity of waste disposed in compliant landfill sites</t>
  </si>
  <si>
    <t>Quanity of waste disposed in open dump sites</t>
  </si>
  <si>
    <t>EXTENT OF MUNICIPAL SOLID WASTE RECOVERED</t>
  </si>
  <si>
    <t>Total Waste Processed in the ULB</t>
  </si>
  <si>
    <t>Total Installed Capacity of Processing facilities</t>
  </si>
  <si>
    <t>EXTENT OF SCIENTIFIC DISPOSAL OF MUNICIPAL SOLID WASTE</t>
  </si>
  <si>
    <t>EFFICIENCY IN COLLECTION OF SWM CHARGES</t>
  </si>
  <si>
    <t>Total Revenue Demand Raised for the previous year</t>
  </si>
  <si>
    <t>EXTENT OF COST RECOVERY IN SWM SERVICES</t>
  </si>
  <si>
    <t>Total Operational Expenses</t>
  </si>
  <si>
    <t>Efficiency of collection of municipal solid waste</t>
  </si>
  <si>
    <t>Extent of municipal solid waste recovered</t>
  </si>
  <si>
    <t>SOLID WASTE MANAGEMENT</t>
  </si>
  <si>
    <t>Household level coverage of solid waste management services</t>
  </si>
  <si>
    <t>Total waste received at processing/disposal facility and recycled (MT/Month)</t>
  </si>
  <si>
    <t>Additional waste that needs to be collected to achieving target  (MT/Month)</t>
  </si>
  <si>
    <t>Quantity of waste taken away by recyclers from intermediate points (MT/Month)</t>
  </si>
  <si>
    <t>Additional waste that needs to be collected in segregated manner to achieve target  (MT/Month)</t>
  </si>
  <si>
    <t>Total Waste Processed in the ULB (MT/Month)</t>
  </si>
  <si>
    <t>Extent of scientific disposal of municipal solid waste</t>
  </si>
  <si>
    <t>Quantity of waste disposed in compliant landfill sites (MT/Month)</t>
  </si>
  <si>
    <t>Indicator</t>
  </si>
  <si>
    <t>Action</t>
  </si>
  <si>
    <t>Time line</t>
  </si>
  <si>
    <t>Identify and regularise illegal connection</t>
  </si>
  <si>
    <t>Immediate</t>
  </si>
  <si>
    <t>Low cost</t>
  </si>
  <si>
    <t>Add connections within existing distribution network</t>
  </si>
  <si>
    <t>Lay down distribution network to serve unserved area</t>
  </si>
  <si>
    <t>Cost will depend on desilting required</t>
  </si>
  <si>
    <t xml:space="preserve">Augmentation of river source </t>
  </si>
  <si>
    <t xml:space="preserve">Cost will depend on depth of intake structure and length of transmission network </t>
  </si>
  <si>
    <t>Bulk water purchase</t>
  </si>
  <si>
    <t>Construction of water treatment plant</t>
  </si>
  <si>
    <t>Expenditure to additionally meter water supply connections</t>
  </si>
  <si>
    <t>Installation of water meters</t>
  </si>
  <si>
    <t>Repairing of valves &amp; ESRs, staff awareness to prevent overflows</t>
  </si>
  <si>
    <t>Water audit and leak detection study</t>
  </si>
  <si>
    <t>Minimum 1 to 2 years for proposal, tendering, field study and report preparation</t>
  </si>
  <si>
    <t xml:space="preserve">Replacement of service connection </t>
  </si>
  <si>
    <t>Minimum 1 to 3 years for assessment and replacement</t>
  </si>
  <si>
    <t>Minimum 2 to 5 years for implementation</t>
  </si>
  <si>
    <t>Special drive for collection of  bills</t>
  </si>
  <si>
    <t>1 to 2 years</t>
  </si>
  <si>
    <t>O&amp;M Cost recovery for water supply services (%)</t>
  </si>
  <si>
    <t>Water tariff revision</t>
  </si>
  <si>
    <t>Immediate after getting approval from elected wing</t>
  </si>
  <si>
    <t>Low cost (Revised water tariff per connection)</t>
  </si>
  <si>
    <t>Conduct energy audit</t>
  </si>
  <si>
    <t>Implement energy audit recommendation like pump retrofication or repairing</t>
  </si>
  <si>
    <t>Implement energy audit recommendation like pump replacement</t>
  </si>
  <si>
    <t>Cost will be depend on the no and power of pumps to be replaced</t>
  </si>
  <si>
    <t>Expenditure / Income</t>
  </si>
  <si>
    <t>Within 1 year</t>
  </si>
  <si>
    <t>About 1 to 3 years for DPR preparation, approval and implementation</t>
  </si>
  <si>
    <t>About 2 to 5 years for project proposal, DPR preparation, approval and implementation</t>
  </si>
  <si>
    <t>About 1 to 3 years for Project preparation, approval and implementation</t>
  </si>
  <si>
    <t>About 1 - 2 years</t>
  </si>
  <si>
    <t>Preliminary water audit</t>
  </si>
  <si>
    <t>Within 3 months</t>
  </si>
  <si>
    <t>Establish system for chlorination</t>
  </si>
  <si>
    <t xml:space="preserve"> Individual toilets construction</t>
  </si>
  <si>
    <t>Within 1 - 2 years for beneficiary identification  and then implementation</t>
  </si>
  <si>
    <t xml:space="preserve"> Community toilets construction</t>
  </si>
  <si>
    <t>Within 1 - 2 years for implementation</t>
  </si>
  <si>
    <t>No cost; this activity will increase sewerage tax income</t>
  </si>
  <si>
    <t xml:space="preserve">STP Construction </t>
  </si>
  <si>
    <t>Construction of tertiary treatment facility</t>
  </si>
  <si>
    <t xml:space="preserve">Water supply </t>
  </si>
  <si>
    <t>Solid Waste</t>
  </si>
  <si>
    <t>Assumptions for grouping of KPIs</t>
  </si>
  <si>
    <t>KPI</t>
  </si>
  <si>
    <t>SOLID WASTE</t>
  </si>
  <si>
    <t xml:space="preserve">ULB TARGET </t>
  </si>
  <si>
    <t>STANDARDISED SERVICE LEVEL BENCHMARKS</t>
  </si>
  <si>
    <t>PERFORMANCE IMPROVEMENT PLANNING</t>
  </si>
  <si>
    <t>Extent of segregation of municipal solid waste</t>
  </si>
  <si>
    <t>0-25%</t>
  </si>
  <si>
    <t>25-50%</t>
  </si>
  <si>
    <t xml:space="preserve">Key performance indicators in the target sheet are grouped in three categories, namely Red, Yellow and Green based on their values. Red group are low performing cities while green group cities are good performers. The table below complies the ranges for each of the KPI. </t>
  </si>
  <si>
    <t>O&amp;M Cost recovery for solid waste management (%)</t>
  </si>
  <si>
    <t>BASIC INFORMATION</t>
  </si>
  <si>
    <t>SUMMARY</t>
  </si>
  <si>
    <t>Around 1 year</t>
  </si>
  <si>
    <t>Efficiency of collection of municipal solid waste (%)</t>
  </si>
  <si>
    <t xml:space="preserve">Installation of secondary collection bins </t>
  </si>
  <si>
    <t xml:space="preserve"> Extent of segregation of municipal solid waste (%)</t>
  </si>
  <si>
    <t>Extent of municipal solid waste recovered(%)</t>
  </si>
  <si>
    <t>Around 2-3 Years</t>
  </si>
  <si>
    <t>Extent of scientific disposal of municipal solid waste (%)</t>
  </si>
  <si>
    <t xml:space="preserve">Construction of scientific landfill site </t>
  </si>
  <si>
    <t>-</t>
  </si>
  <si>
    <t>Installation of weigh bridge</t>
  </si>
  <si>
    <t>Construction of transfer station</t>
  </si>
  <si>
    <t>No cost; this activity will increase water supply revenue</t>
  </si>
  <si>
    <t>Low cost; this activity will increase water supply revenue</t>
  </si>
  <si>
    <t>Establish manual complaint redressal system</t>
  </si>
  <si>
    <t>Establish computerised complaint redressal system</t>
  </si>
  <si>
    <t>A) For un-metered water supply schemes</t>
  </si>
  <si>
    <t>Values in Rs</t>
  </si>
  <si>
    <t>L.S.</t>
  </si>
  <si>
    <t>per 1000</t>
  </si>
  <si>
    <t>B) For metered water supply schemes</t>
  </si>
  <si>
    <t>i) Supply and installation of GIS software</t>
  </si>
  <si>
    <t>Each</t>
  </si>
  <si>
    <t>sq.km</t>
  </si>
  <si>
    <t>iii) Digitization of satellite image</t>
  </si>
  <si>
    <t>iv) Physical survey</t>
  </si>
  <si>
    <t>a) Transport Network</t>
  </si>
  <si>
    <t>Km</t>
  </si>
  <si>
    <t>b) Hydrology</t>
  </si>
  <si>
    <t>c) Administration zones and wards</t>
  </si>
  <si>
    <t>1000 nodes</t>
  </si>
  <si>
    <t>No.</t>
  </si>
  <si>
    <t>per node</t>
  </si>
  <si>
    <t>Note: Rates given by MJP, Maharashtra year 2008 - 09</t>
  </si>
  <si>
    <t>3. Hydraulic Modelling</t>
  </si>
  <si>
    <t>2. GIS mapping</t>
  </si>
  <si>
    <t>1. Water Audit</t>
  </si>
  <si>
    <r>
      <t>i)</t>
    </r>
    <r>
      <rPr>
        <sz val="11"/>
        <rFont val="Calibri"/>
        <family val="2"/>
      </rPr>
      <t> For towns up to population of 25,000</t>
    </r>
  </si>
  <si>
    <r>
      <t>iii)</t>
    </r>
    <r>
      <rPr>
        <sz val="11"/>
        <rFont val="Calibri"/>
        <family val="2"/>
      </rPr>
      <t> For towns of population 50,000</t>
    </r>
  </si>
  <si>
    <r>
      <t>v)</t>
    </r>
    <r>
      <rPr>
        <sz val="11"/>
        <rFont val="Calibri"/>
        <family val="2"/>
      </rPr>
      <t> For towns of population 100,000</t>
    </r>
  </si>
  <si>
    <r>
      <t>vii)</t>
    </r>
    <r>
      <rPr>
        <sz val="11"/>
        <rFont val="Calibri"/>
        <family val="2"/>
      </rPr>
      <t> For towns of population 1,50,000</t>
    </r>
  </si>
  <si>
    <r>
      <t>ix)</t>
    </r>
    <r>
      <rPr>
        <sz val="11"/>
        <rFont val="Calibri"/>
        <family val="2"/>
      </rPr>
      <t> For towns of population 2,00,000</t>
    </r>
  </si>
  <si>
    <r>
      <t>Km</t>
    </r>
    <r>
      <rPr>
        <vertAlign val="superscript"/>
        <sz val="11"/>
        <rFont val="Calibri"/>
        <family val="2"/>
      </rPr>
      <t>2</t>
    </r>
  </si>
  <si>
    <t>ANNEXE NO.1</t>
  </si>
  <si>
    <t>ANNEXE NO.2</t>
  </si>
  <si>
    <t>Water supply</t>
  </si>
  <si>
    <t>FINANCIAL ASSESSMENT</t>
  </si>
  <si>
    <t>ULB</t>
  </si>
  <si>
    <t>Collection against Current Demand</t>
  </si>
  <si>
    <t>GUIDELINES</t>
  </si>
  <si>
    <t>1. Performance Assessment and Target Setting</t>
  </si>
  <si>
    <t>2. Integrated Action Planning</t>
  </si>
  <si>
    <t>3. Financial Assessment</t>
  </si>
  <si>
    <t>POPULATION</t>
  </si>
  <si>
    <t>HOUSEHOLDS</t>
  </si>
  <si>
    <t>SLUM POPULATION SHARE</t>
  </si>
  <si>
    <t>Expenditure required to augment water resource</t>
  </si>
  <si>
    <t>Expenditure required to augment treatment capacity</t>
  </si>
  <si>
    <t>Expenditure required to conduct and implement water audit recommendations</t>
  </si>
  <si>
    <t>Expenditure required to improve continuity of water supply</t>
  </si>
  <si>
    <t>Expenditure required to improve customer redressal complaints</t>
  </si>
  <si>
    <t>Expenditure required to improve collection efficiency</t>
  </si>
  <si>
    <t>Water supply revenue expenditure 
(Expenditure required to conduct and implement energy audit recommendations)</t>
  </si>
  <si>
    <t>Expenditure required to construct new individual toilet facilities</t>
  </si>
  <si>
    <t>Expenditure required to construct new community toilet facilities</t>
  </si>
  <si>
    <t>Expenditure required to augment STP capacity</t>
  </si>
  <si>
    <t>Expenditure required to improve quality of sewage treated</t>
  </si>
  <si>
    <t>Expenditure required by ULB to achieve target</t>
  </si>
  <si>
    <t>SUMMARY OF FINANCIAL ASSESSMENT</t>
  </si>
  <si>
    <t>Planned % increase in revenue demand per household per annum</t>
  </si>
  <si>
    <t>Guidelines for arriving at block costs</t>
  </si>
  <si>
    <t>Immediately after approval from elected wing</t>
  </si>
  <si>
    <t xml:space="preserve">*FILL IN APPROPRITE VALUES FOR YOUR CITY IN ALL THE BLACK CELLS </t>
  </si>
  <si>
    <t>TARGET MODEL</t>
  </si>
  <si>
    <t xml:space="preserve"> </t>
  </si>
  <si>
    <t>TARGET MODEL - INPUTS AND ANALYSIS</t>
  </si>
  <si>
    <t>Performance of each KPI can be improved by various actions. For each ULB, the appropriate action may differ based on local issues and availability of resources. The table below provides a list of these actions for each KPI for all three sub-sectors. Based on contextual understanding, the city needs to choose from these actions and calculate block cost estimates. Appropriately adjusted block costs can be used as inputs in the Model.</t>
  </si>
  <si>
    <t xml:space="preserve">The Model provides computation of total expenditure required to achieve the proposed targets. The ULB must provide details of likely funds available through different sources.  </t>
  </si>
  <si>
    <t>ND</t>
  </si>
  <si>
    <t>NA</t>
  </si>
  <si>
    <t>MLD</t>
  </si>
  <si>
    <t>MT/month</t>
  </si>
  <si>
    <t>PERFORMANCE ASSESSMENT SYSTEM (PAS) PROJECT</t>
  </si>
  <si>
    <t>GENERAL INFORMATION</t>
  </si>
  <si>
    <t>S.No</t>
  </si>
  <si>
    <t>Description of data elements</t>
  </si>
  <si>
    <t>Unit</t>
  </si>
  <si>
    <t>FY 2008-2009</t>
  </si>
  <si>
    <t>FY 2009-2010</t>
  </si>
  <si>
    <t>FY 2010-2011</t>
  </si>
  <si>
    <t>FY 2011-2012</t>
  </si>
  <si>
    <t>FY 2012-2013</t>
  </si>
  <si>
    <t>Demographics</t>
  </si>
  <si>
    <t>Population (Census 2001)</t>
  </si>
  <si>
    <t>Persons</t>
  </si>
  <si>
    <t>Decadal Growth Rate of the City</t>
  </si>
  <si>
    <t>%</t>
  </si>
  <si>
    <t>Population (Present Year)</t>
  </si>
  <si>
    <t>Number of Households (Census 2001)</t>
  </si>
  <si>
    <t>Number</t>
  </si>
  <si>
    <t>Number of Households (Present Year)</t>
  </si>
  <si>
    <t>Family Size (Census 2001)</t>
  </si>
  <si>
    <t>Family Size (Present Year)</t>
  </si>
  <si>
    <t>Number of Slums (2001)</t>
  </si>
  <si>
    <t>Number of Slums (Present Year)</t>
  </si>
  <si>
    <t>Number of Slum Households (2001)</t>
  </si>
  <si>
    <t>Number of Slum Households (Present Year)</t>
  </si>
  <si>
    <t>Number of Properties (2001)</t>
  </si>
  <si>
    <t>Number of Properties (Present Year)</t>
  </si>
  <si>
    <t>Number of Election Wards (2001)</t>
  </si>
  <si>
    <t>Number of Election Wards (Present Year)</t>
  </si>
  <si>
    <t>Town/City Area (Census 2001)</t>
  </si>
  <si>
    <t>Present Town/City Area</t>
  </si>
  <si>
    <t>Population Density (Present Year)</t>
  </si>
  <si>
    <t>Number of Commercial and other establishments (offices, institutions, markets), Hotels and Restaurants (Year 2001)</t>
  </si>
  <si>
    <t>Service Provider Details - Water Supply</t>
  </si>
  <si>
    <t>Name of Town/City</t>
  </si>
  <si>
    <t>Name of the Department/Unit</t>
  </si>
  <si>
    <t>Name of the Head of Department/Unit</t>
  </si>
  <si>
    <t>Designation of the Department Head</t>
  </si>
  <si>
    <t>Address</t>
  </si>
  <si>
    <t>Telephone Number</t>
  </si>
  <si>
    <t>Mobile Number</t>
  </si>
  <si>
    <t>Fax Number</t>
  </si>
  <si>
    <t>Email</t>
  </si>
  <si>
    <t>Website</t>
  </si>
  <si>
    <t>Name of the Contact Person</t>
  </si>
  <si>
    <t>Designation of the contact person</t>
  </si>
  <si>
    <t>Service Provider Details - Sewerage and Drainage</t>
  </si>
  <si>
    <t>Name of Town/ City</t>
  </si>
  <si>
    <t xml:space="preserve">Email </t>
  </si>
  <si>
    <t>Email ID</t>
  </si>
  <si>
    <t>Service Provider Details - Solid Waste Management</t>
  </si>
  <si>
    <t>Name of Town/Utility</t>
  </si>
  <si>
    <t>Name of the Head of the Department</t>
  </si>
  <si>
    <t>Designation of the Head of the Department</t>
  </si>
  <si>
    <t>Designation of the Contact Person</t>
  </si>
  <si>
    <t>Service Provider Details - Slums</t>
  </si>
  <si>
    <t>Name of the Contact Person for Information related to slums</t>
  </si>
  <si>
    <t xml:space="preserve">Designation </t>
  </si>
  <si>
    <t>COVERAGE OF WATER SUPPLY CONNECTIONS</t>
  </si>
  <si>
    <t>Water Service Coverage - Number of Connections</t>
  </si>
  <si>
    <t>Domestic Connections (Metered Functional)</t>
  </si>
  <si>
    <t>Domestic Connections (Metered Non-Functional)</t>
  </si>
  <si>
    <t>Domestic Connections (Unmetered)</t>
  </si>
  <si>
    <t>Domestic connections (Total)</t>
  </si>
  <si>
    <t>Bulk supply Apartments (Metered Functional)</t>
  </si>
  <si>
    <t>Bulk supply Apartments (Metered Non-Functional)</t>
  </si>
  <si>
    <t>Bulk supply Apartments (Unmetered)</t>
  </si>
  <si>
    <t>Bulk supply Apartments (Total)</t>
  </si>
  <si>
    <t>Bulk supply Layouts/Societies (Metered Functional)</t>
  </si>
  <si>
    <t>Bulk supply Layouts/Societies (Metered Non-Functional)</t>
  </si>
  <si>
    <t>Bulk supply Layouts/societies (Unmetered)</t>
  </si>
  <si>
    <t>Bulk supply Layouts/Societies (Total)</t>
  </si>
  <si>
    <t>Others - Specify (Metered Funtional)</t>
  </si>
  <si>
    <t>Others - Specify (Metered Non-Functional)</t>
  </si>
  <si>
    <t>Others  - Specify (Unmetered)</t>
  </si>
  <si>
    <t>Others - Specify  (Total)</t>
  </si>
  <si>
    <t>Total Number of Water Supply Connections - Residential</t>
  </si>
  <si>
    <t>Water Service Coverage - Households Served</t>
  </si>
  <si>
    <t>Households served by Domestic Connections</t>
  </si>
  <si>
    <t>Households served by Bulk supply - Apartments</t>
  </si>
  <si>
    <t>Households served by Bulk supply - Layouts/Societies</t>
  </si>
  <si>
    <t>Total Households served with Water Supply</t>
  </si>
  <si>
    <t>*Households served by own sources such as wells, handpumps shall not be included</t>
  </si>
  <si>
    <t>PER CAPITA SUPPLY OF WATER</t>
  </si>
  <si>
    <t>LPCD</t>
  </si>
  <si>
    <t>Water Production Capacity</t>
  </si>
  <si>
    <t>Installed Capacity of Treatment Plants for Surface Water Sources</t>
  </si>
  <si>
    <t>Volume of water produced through Surface Water Sources</t>
  </si>
  <si>
    <t>Installed Capacity of Treatment Plants for Ground Water Sources</t>
  </si>
  <si>
    <t>Volume of water produced through Ground water (power pumps)</t>
  </si>
  <si>
    <t>Volume of water produced through any Other Sources</t>
  </si>
  <si>
    <t>Total Installed Capacity</t>
  </si>
  <si>
    <t xml:space="preserve">Total Volume of water produced </t>
  </si>
  <si>
    <t xml:space="preserve">Water Consumption </t>
  </si>
  <si>
    <t>Volume of water billed from Domestic Connections</t>
  </si>
  <si>
    <t>Volume of water billed from Bulk supply Apartments</t>
  </si>
  <si>
    <t>Volume of water billed from Bulk supply Layouts/Societies</t>
  </si>
  <si>
    <t>Volume of water billed from Non domestic Connections</t>
  </si>
  <si>
    <t>Volume of water billed from Public taps</t>
  </si>
  <si>
    <t xml:space="preserve">Volume of water billed from any other sources </t>
  </si>
  <si>
    <t>Total Volume of water billed</t>
  </si>
  <si>
    <t>Total Volume of water unbilled (free supplies to Public taps)</t>
  </si>
  <si>
    <t>Total Volume of water unbilled (free connections eg. Religious institutions etc)</t>
  </si>
  <si>
    <t>EXTENT  OF NON REVENUE WATER (NRW)</t>
  </si>
  <si>
    <t>Total Volume of Water Produced</t>
  </si>
  <si>
    <t>Total Volume of Water Billed</t>
  </si>
  <si>
    <t>EXTENT OF METERING OF WATER SUPPLY CONNECTIONS</t>
  </si>
  <si>
    <t>Non domestic incl. commercial/Indus/Instl. (Metered Functional)</t>
  </si>
  <si>
    <t>Non domestic incl. commercial/Indus/Instl. (Metered Non-Functional)</t>
  </si>
  <si>
    <t>Non domestic incl. commercial/Indus/Instl. (Unmetered)</t>
  </si>
  <si>
    <t>Non domestic incl. commercial/Indus/Instl. (Total)</t>
  </si>
  <si>
    <t>Public taps (Metered Functional)</t>
  </si>
  <si>
    <t>Public taps (Metered Non-Functional)</t>
  </si>
  <si>
    <t>Public taps (Unmetered)</t>
  </si>
  <si>
    <t>Public Taps (Total)</t>
  </si>
  <si>
    <t xml:space="preserve">Total number of metered and functional connections (domestic, bulk supply, others) </t>
  </si>
  <si>
    <t>Total number of Water Supply Connections</t>
  </si>
  <si>
    <t>CONTINUITY OF WATER SUPPLY</t>
  </si>
  <si>
    <t>Hours per Day</t>
  </si>
  <si>
    <t>Water Supply Frequency</t>
  </si>
  <si>
    <t>Days of supply per month</t>
  </si>
  <si>
    <t>Average duration of each supply</t>
  </si>
  <si>
    <t>Hours</t>
  </si>
  <si>
    <t>EFFECIENCY OF REDRESSAL OF COMPLAINTS</t>
  </si>
  <si>
    <t>Consumer Services</t>
  </si>
  <si>
    <t>Complaints received during the year</t>
  </si>
  <si>
    <t>Complaints resolved within 24 hours during the year</t>
  </si>
  <si>
    <t>QUALITY OF WATER SUPPLIED</t>
  </si>
  <si>
    <t>Treated Water Quality Surveilance</t>
  </si>
  <si>
    <t>Residual Chlorine - No. of Samples taken at the source/outlet of Water Treatment Plant (in a year)</t>
  </si>
  <si>
    <t>Residual Chlorine - No. of Samples taken at intermediate points (in a year)</t>
  </si>
  <si>
    <t>Residual Chlorine - No. of Samples taken at consumer end (in a year)</t>
  </si>
  <si>
    <t>Total Samples taken for Residual Chlorine tests (if location wise samples are not available)</t>
  </si>
  <si>
    <t>Total Samples taken for Residual Chlorine tests</t>
  </si>
  <si>
    <t>Number of Samples Passed</t>
  </si>
  <si>
    <t>Physical/Chemical - No. of Samples taken at the source/outlet of Water Treatment Plant (in a year)</t>
  </si>
  <si>
    <t>Physical/Chemical - No. of Samples taken at intermediate points (in a year)</t>
  </si>
  <si>
    <t>Physical/Chemical - No. of Samples taken at consumer end (in a year)</t>
  </si>
  <si>
    <t>Total Samples taken for Physical/Chemical tests (if location wise samples are not available)</t>
  </si>
  <si>
    <t>Total Samples taken for Physical and Chemical tests</t>
  </si>
  <si>
    <t>Bacteriological - No. of Samples taken at the source/outlet of Water Treatment Plant (in a year)</t>
  </si>
  <si>
    <t>Bacteriological - No. of Samples taken at intermediate points (in a year)</t>
  </si>
  <si>
    <t>Bacteriological - No. of Samples taken at consumer end (in a year)</t>
  </si>
  <si>
    <t>Total Samples taken for Bacteriological tests (if location wise samples are not available)</t>
  </si>
  <si>
    <t>Total Samples taken for Bacteriological tests</t>
  </si>
  <si>
    <t>Total Number of Samples taken for all types of tests</t>
  </si>
  <si>
    <t>Total Tests Passed</t>
  </si>
  <si>
    <t>COST RECOVERY IN WATER SUPPLY SERVICES</t>
  </si>
  <si>
    <t>Financial Information - Operating Expenses</t>
  </si>
  <si>
    <t>Regular Staff and administration</t>
  </si>
  <si>
    <t>Rs. Lakhs</t>
  </si>
  <si>
    <t>Outsourced/Contract Staff Costs</t>
  </si>
  <si>
    <t>Financial Information - Operating Revenues</t>
  </si>
  <si>
    <t>Arrears at the beginning of previous year (2009-10)</t>
  </si>
  <si>
    <t>Revenue demand from user charges</t>
  </si>
  <si>
    <t>Revenue demand from tax/cess - Water Service only</t>
  </si>
  <si>
    <t>Revenue demand from other revenues (eg. connection costs/Donations etc)</t>
  </si>
  <si>
    <t>COLLECTION EFFICIENCY OF WATER SUPPLY RELATED CHARGES</t>
  </si>
  <si>
    <t>Total Revenue Demand for previous year (from user charges, taxes etc)</t>
  </si>
  <si>
    <t>Collection against arrears (2009-10)</t>
  </si>
  <si>
    <t>Collection against the current demand of previous year (2009-10)</t>
  </si>
  <si>
    <t>Additional Information</t>
  </si>
  <si>
    <t>Staff Information</t>
  </si>
  <si>
    <t>Senior Management (Sanctioned)</t>
  </si>
  <si>
    <t>Senior Management (Working)</t>
  </si>
  <si>
    <t>Engineers (Sanctioned)</t>
  </si>
  <si>
    <t>Engineers (Working)</t>
  </si>
  <si>
    <t>Clerks/Accountants (Sanctioned)</t>
  </si>
  <si>
    <t>Clerks/Accountants (Working)</t>
  </si>
  <si>
    <t>Work Inspectors/Meter Readers (Sanctioned)</t>
  </si>
  <si>
    <t>Work Inspectors/Meter Readers (Working)</t>
  </si>
  <si>
    <t>Electricians/Fitters (Sanctioned)</t>
  </si>
  <si>
    <t>Electricians/Fitters (Working)</t>
  </si>
  <si>
    <t>Lines men/plumbers (Sanctioned)</t>
  </si>
  <si>
    <t>Lines men/plumbers (Working)</t>
  </si>
  <si>
    <t>Labourers (Sanctioned)</t>
  </si>
  <si>
    <t>Labourers (Working)</t>
  </si>
  <si>
    <t>Total (Sanctioned)</t>
  </si>
  <si>
    <t>Total (Working)</t>
  </si>
  <si>
    <t>Connection Costs for Water Connections</t>
  </si>
  <si>
    <t>Residential - General</t>
  </si>
  <si>
    <t>Rs</t>
  </si>
  <si>
    <t>Residential - Urban Poor</t>
  </si>
  <si>
    <t>Institutional</t>
  </si>
  <si>
    <t>Commercial</t>
  </si>
  <si>
    <t>Industrial</t>
  </si>
  <si>
    <t>Water Tariff Structure - Flat Rate Tariff</t>
  </si>
  <si>
    <t>Rs./Month</t>
  </si>
  <si>
    <t>Water Tariff Structure - Volumetric Tariff</t>
  </si>
  <si>
    <t>Rs./KL</t>
  </si>
  <si>
    <t>WATER SUPPLY INDICATOR VALUES</t>
  </si>
  <si>
    <t>Coverage of water supply connections</t>
  </si>
  <si>
    <t>Per capita available of water at consumer end</t>
  </si>
  <si>
    <t>Lpcd</t>
  </si>
  <si>
    <t>Extent of metering of water connections</t>
  </si>
  <si>
    <t xml:space="preserve">Extent of Non Revenue Water </t>
  </si>
  <si>
    <t xml:space="preserve">Continuity of water supply </t>
  </si>
  <si>
    <t>Hours/Day</t>
  </si>
  <si>
    <t>Cost recovery in water supply services</t>
  </si>
  <si>
    <t>Efficieny in collection of water supply related charges</t>
  </si>
  <si>
    <t>WATER SUPPLY RELIABILITY GRADES</t>
  </si>
  <si>
    <t>Local Action Indicators</t>
  </si>
  <si>
    <t>% of population with access to improved water services</t>
  </si>
  <si>
    <t>Coverage of distribution network</t>
  </si>
  <si>
    <t>Drive for identifying and regularizing illegal connections taken up</t>
  </si>
  <si>
    <t>Y/N</t>
  </si>
  <si>
    <t>% illegal connections</t>
  </si>
  <si>
    <t>% of identified illegal connections that are regularized</t>
  </si>
  <si>
    <t>Percentage of estimated water demand over next 3 years to available supply from all current sources and immediate plans to augment through ongoing projects</t>
  </si>
  <si>
    <t>Regular annual assessment of available sources</t>
  </si>
  <si>
    <t>Reused supply water</t>
  </si>
  <si>
    <t>Average pressure at WDS</t>
  </si>
  <si>
    <t>meters</t>
  </si>
  <si>
    <t>Average pressure at consumer end</t>
  </si>
  <si>
    <t>Days of supply</t>
  </si>
  <si>
    <t>days</t>
  </si>
  <si>
    <t>% of tests for RC</t>
  </si>
  <si>
    <t>% of tests for bacteriological</t>
  </si>
  <si>
    <t>Pump replacement</t>
  </si>
  <si>
    <t>Unit electricity cost of production of water supply</t>
  </si>
  <si>
    <t xml:space="preserve"> Rs/Kl</t>
  </si>
  <si>
    <t>Recruited to sanctioned staff</t>
  </si>
  <si>
    <t>Total Staff (regular and contract) per 1000 water supply connections</t>
  </si>
  <si>
    <t>Ratio</t>
  </si>
  <si>
    <t>Per capita revenue expenditure</t>
  </si>
  <si>
    <t>Studies/ actions on detailed energy audits</t>
  </si>
  <si>
    <t>Average revenue per water connection</t>
  </si>
  <si>
    <t>Per capita revenue income</t>
  </si>
  <si>
    <t>Studies and actions for preliminary water audit</t>
  </si>
  <si>
    <t>% Losses from source to water treatment plant (WTP)</t>
  </si>
  <si>
    <t>% Losses from WTP to water distribution station (WDS)</t>
  </si>
  <si>
    <t xml:space="preserve">% Losses from WDS to final consumption (includes both leakage on service connections and unauthorized consumption) </t>
  </si>
  <si>
    <t>Pipe breaks per km length of network</t>
  </si>
  <si>
    <t>% of network refurbished</t>
  </si>
  <si>
    <t>km</t>
  </si>
  <si>
    <t>% Authorized and unbilled consumption to total supply</t>
  </si>
  <si>
    <t>Periodic monitoring and analysis of complaints</t>
  </si>
  <si>
    <t>Total complaints in water supply per 1000 connections per year</t>
  </si>
  <si>
    <t>% of meters that are functional</t>
  </si>
  <si>
    <t>Annual cost of losses (real and apparent)</t>
  </si>
  <si>
    <t>% of connections that are metered</t>
  </si>
  <si>
    <t>Presence of automated billing systems</t>
  </si>
  <si>
    <t>Billed arrears to total billed demand</t>
  </si>
  <si>
    <t>Updation and linkage of connections with billing systems</t>
  </si>
  <si>
    <t>Outsourcing collection systems</t>
  </si>
  <si>
    <t>SEWERAGE AND DRAINAGE</t>
  </si>
  <si>
    <t>COVERAGE OF TOILETS</t>
  </si>
  <si>
    <t>Sanitation Coverage</t>
  </si>
  <si>
    <t>Properties with toilets</t>
  </si>
  <si>
    <t>COVERAGE OF SEWAGE NETWORK SERVICES</t>
  </si>
  <si>
    <t>Properties with onsite sanitary disposal</t>
  </si>
  <si>
    <t>COLLECTION EFFICIENCY OF SEWAGE NETWORK</t>
  </si>
  <si>
    <t>Waste Water Production - Volume of Water Consumed and Waste Water Generated</t>
  </si>
  <si>
    <t>Volume of water consumed and billed from Domestic Connections</t>
  </si>
  <si>
    <t>Volume of water consumed and billed from Bulk supply - Apartments</t>
  </si>
  <si>
    <t>Volume of water consumed and billed from Bulk supply - Layouts/Societies</t>
  </si>
  <si>
    <t>Volume of water consumed and billed from Non domestic Connections</t>
  </si>
  <si>
    <t>Volume of water consumed (both billed and unbilled) from Public taps</t>
  </si>
  <si>
    <t>Volume of water from free supplies (other connections)</t>
  </si>
  <si>
    <t xml:space="preserve">Volume of water consumed and billed from any other ULB sources </t>
  </si>
  <si>
    <t>Total Water Consumption (billed and unbilled) from ULB and Non ULB sources)</t>
  </si>
  <si>
    <t>Volume of waste water generated from Domestic Water Consumption</t>
  </si>
  <si>
    <t>Volume of waste water generated from Bulk Supply - Apartments</t>
  </si>
  <si>
    <t>Volume of waste water generated from Bulk Supply - Layouts/Societies</t>
  </si>
  <si>
    <t>Volume of waste water generated from Non Domestic Water Consumption</t>
  </si>
  <si>
    <t>Volume of waste water generated from Public Tap Water Consumption</t>
  </si>
  <si>
    <t>Volume of waste water generated from free supplies (other connections)</t>
  </si>
  <si>
    <t>Volume of waste water generated from other ULB source water consumption</t>
  </si>
  <si>
    <t>Volume of waste water generated from Non ULB source Water consumption</t>
  </si>
  <si>
    <t>Waste Water Collection and Treatment</t>
  </si>
  <si>
    <t>Volume of sewage actually treated at the Primary Treatment Plant</t>
  </si>
  <si>
    <t>Volume of sewage actually treated at Secondary Treatment Plant</t>
  </si>
  <si>
    <t>Total Volume of Waste Water collected and Treated at Sewage Treatment Plants</t>
  </si>
  <si>
    <t>Installed Capacity of Primary Treatment Plant</t>
  </si>
  <si>
    <t>Installed Capacity of Secondary Treatment Plant</t>
  </si>
  <si>
    <t>Total Installed Capacity (Primary + Secondary Treatment)</t>
  </si>
  <si>
    <t>Volume of treated waste water reused after Secondary Treatment</t>
  </si>
  <si>
    <t>Discharge Compliance after Secondary Treatment of Sewage</t>
  </si>
  <si>
    <t>Number of Treated Effluent Samples Tested in a year</t>
  </si>
  <si>
    <t>Number of Treated Effluent Samples Passed in a year</t>
  </si>
  <si>
    <t>Sewage related Complaints received during the year</t>
  </si>
  <si>
    <t>Sewage related Complaints resolved within 24 hours during the year</t>
  </si>
  <si>
    <t>Financial Information - Annual Operating Expenses</t>
  </si>
  <si>
    <t>Regular Staff and Administration</t>
  </si>
  <si>
    <t>Outsourced /Contract Staff Costs</t>
  </si>
  <si>
    <t>Electricity Charges /Fuel Costs</t>
  </si>
  <si>
    <t>Chemicals Costs</t>
  </si>
  <si>
    <t>Contractor Costs for O&amp;M</t>
  </si>
  <si>
    <t>Others (Specify)</t>
  </si>
  <si>
    <t>Financial Information - Annual Operating Revenues</t>
  </si>
  <si>
    <t>Arrears at the beginning of previous year</t>
  </si>
  <si>
    <t>Revenue demand from user charges - sewerage only</t>
  </si>
  <si>
    <t>Revenue demand from tax/cess - sewerage only</t>
  </si>
  <si>
    <t>Revenue demand from other sources (eg. connection costs/donations etc.)</t>
  </si>
  <si>
    <t>Total Revenue Demand of the previous year (Current Demand of previous year)</t>
  </si>
  <si>
    <t>Collection against arrears</t>
  </si>
  <si>
    <t>Storm Water Drainage Data</t>
  </si>
  <si>
    <t>COVERAGE OF STORM WATER DRAINAGE NETWORK</t>
  </si>
  <si>
    <t>Total Length of Road Network</t>
  </si>
  <si>
    <t>Kilometers</t>
  </si>
  <si>
    <t>Total Length of Pucca covered drains</t>
  </si>
  <si>
    <t>INCIDENCE OF WATER LOGGING/FLOODING</t>
  </si>
  <si>
    <t>Number of Flood Prone Points in the city</t>
  </si>
  <si>
    <t xml:space="preserve">Average Frequency of Flooding </t>
  </si>
  <si>
    <t>Labourers/Cleaners (Sanctioned)</t>
  </si>
  <si>
    <t>Labourers/Cleaners (Working)</t>
  </si>
  <si>
    <t>Septage Management</t>
  </si>
  <si>
    <t xml:space="preserve">Does the ULB practice septage management </t>
  </si>
  <si>
    <t>Yes/No</t>
  </si>
  <si>
    <t>YES</t>
  </si>
  <si>
    <t>Septage sucking machines available within ULB</t>
  </si>
  <si>
    <t>Private Septage machines licenced by ULB</t>
  </si>
  <si>
    <t>Connection Costs for Sewerage Connections</t>
  </si>
  <si>
    <t>Sewerage Tariff Structure - Flat Rate Tariff</t>
  </si>
  <si>
    <t>Sewerage Tariff Structure - Volumetric Tariff</t>
  </si>
  <si>
    <t>SEWERAGE SERVICE INDICATOR VALUES</t>
  </si>
  <si>
    <t>Extent of reuse and recycling of treated watsewater</t>
  </si>
  <si>
    <t>Quality of wastewater treatment</t>
  </si>
  <si>
    <t>Efficieny in redressal of customer complaints</t>
  </si>
  <si>
    <t>Exetent of cost recovery in wastewater management</t>
  </si>
  <si>
    <t>Efficiency in collection of sewerage charges</t>
  </si>
  <si>
    <t>STORM WATER DRAINAGE SERVICE INDICATOR VALUES</t>
  </si>
  <si>
    <t>Coverage of Storm Water Drainage Network</t>
  </si>
  <si>
    <t>Incidence of water logging/flooding</t>
  </si>
  <si>
    <t>SEWERAGE SERVICE RELIABILITY GRADES</t>
  </si>
  <si>
    <t>S.No.</t>
  </si>
  <si>
    <t>Coverage of households with toilets</t>
  </si>
  <si>
    <t>Coverage of properties with safe disposal system</t>
  </si>
  <si>
    <t>Coverage of households with sewer connections</t>
  </si>
  <si>
    <t>Coverage of sewerage network</t>
  </si>
  <si>
    <t>Coverage of sullage network (open+covered)</t>
  </si>
  <si>
    <t>% of illegal connections regularized</t>
  </si>
  <si>
    <t>Staff for wastewater per length of sewer</t>
  </si>
  <si>
    <t>% of sewer network replaced/repaired in last 3 years</t>
  </si>
  <si>
    <t>% capacity of plant to wastewater generated</t>
  </si>
  <si>
    <t>Adequacy of primary treatment capacity</t>
  </si>
  <si>
    <t>Presence of master plan for sewage system</t>
  </si>
  <si>
    <t>PSP in construction/operation/maintenance in STP</t>
  </si>
  <si>
    <t>Extent of primary treatment</t>
  </si>
  <si>
    <t>Number of connections to septic tanks in the city</t>
  </si>
  <si>
    <t>Presence of septage treatment facilities</t>
  </si>
  <si>
    <t>Number of septage sucking machines/1000 septic tanks</t>
  </si>
  <si>
    <t>% of septic tanks cleaned annually</t>
  </si>
  <si>
    <t>Unit electricity cost of collection/disposal of wastewater</t>
  </si>
  <si>
    <t>Rs/Kl</t>
  </si>
  <si>
    <t>% recruited staff to sanctioned staff in wastewater</t>
  </si>
  <si>
    <t>Total Staff (regular and contract) per 1000 waste water connections</t>
  </si>
  <si>
    <t>Average revenue per connection</t>
  </si>
  <si>
    <t>Quality of untreated wastewater disposed (BOD &amp; COD)</t>
  </si>
  <si>
    <t>Total complaints in waste water per 1000 connections</t>
  </si>
  <si>
    <t>Frequency of sewer overflows</t>
  </si>
  <si>
    <t>HOUSEHOLD LEVEL COVERAGE OF SOLID WASTE MANAGEMENT SERVICES</t>
  </si>
  <si>
    <t>Door to Door Collection - Number of HHs and establishments covered by Door to Door Collection</t>
  </si>
  <si>
    <t>Number of Households covered by Door to Door Collection</t>
  </si>
  <si>
    <t>Number of Hotels and Restaurants covered by Door to Door Collection</t>
  </si>
  <si>
    <t>Number of Commercial Establishments (institutions, offices) covered by Door to Door Collection</t>
  </si>
  <si>
    <t>Number of any other establishments (incl. markets) covered by Door to Door Collection</t>
  </si>
  <si>
    <t>Total number of establishments covered by door to door collection (if typewise establishments is not available)</t>
  </si>
  <si>
    <t>Waste Generation</t>
  </si>
  <si>
    <t>Waste Generated by Households</t>
  </si>
  <si>
    <t>Waste Generated by Street Sweeping</t>
  </si>
  <si>
    <t>Waste Generated by Hotels and Restaurants</t>
  </si>
  <si>
    <t>Waste Generated by Markets (Vegetable Markets, Mandis etc)</t>
  </si>
  <si>
    <t>Waste Generated by Commercial Establishments  (eg. Institutions, etc)</t>
  </si>
  <si>
    <t>Waste Generated by other sources (eg. debris, horticulture waste etc)</t>
  </si>
  <si>
    <t>Total Waste Generated (if typewise generation is not available)</t>
  </si>
  <si>
    <t>Total Waste Generated</t>
  </si>
  <si>
    <t>Waste Collection and Transportation - Details of waste received at Processing/ Disposal Facilities</t>
  </si>
  <si>
    <t>Quantity of waste received at processing and recycling facilities</t>
  </si>
  <si>
    <t>Quantity of waste received at disposal sites</t>
  </si>
  <si>
    <t>Waste Collection and Transportation - Details of waste transported to Processing/ Disposal Facilities</t>
  </si>
  <si>
    <t>Number of trucks used for transportation of waste</t>
  </si>
  <si>
    <t>Capacity of each trucks</t>
  </si>
  <si>
    <t>Metric Tons (MT)</t>
  </si>
  <si>
    <t>Total number of trips made by trucks each day to the disposal site</t>
  </si>
  <si>
    <t>Trips per day</t>
  </si>
  <si>
    <t>Total quantity of waste collected by trucks</t>
  </si>
  <si>
    <t>Number of dumper placers used for transportation of waste</t>
  </si>
  <si>
    <t>Capacity of each dumper placer</t>
  </si>
  <si>
    <t>Total number of trips made by all dumper placers each day to the disposal site</t>
  </si>
  <si>
    <t>Total quantity of waste collected by dumper placers</t>
  </si>
  <si>
    <t xml:space="preserve">Number of mini lorries used for transportation of waste </t>
  </si>
  <si>
    <t>Capacity of each mini lorry</t>
  </si>
  <si>
    <t>Total number of trips made by all mini lorries each day to the disposal site</t>
  </si>
  <si>
    <t>Total quantity of waste collected by mini lorries</t>
  </si>
  <si>
    <t>Number of tractor trailers used for transportation of waste</t>
  </si>
  <si>
    <t>Capacity of each tractor trailer</t>
  </si>
  <si>
    <t>Total number of trips made by all tractor trailer each day to the disposal site</t>
  </si>
  <si>
    <t>Total quantity of waste collected by tractor trailer</t>
  </si>
  <si>
    <t>Number of tipper trucks used for transportation of waste</t>
  </si>
  <si>
    <t>Capacity of each tipper trucks</t>
  </si>
  <si>
    <t>Total number of trips made by all tipper trucks each day to the disposal site</t>
  </si>
  <si>
    <t>Total quantity of waste collected by tipper trucks</t>
  </si>
  <si>
    <t>Number of 3 wheeler auto tippers used for transportation of waste</t>
  </si>
  <si>
    <t>Capacity of each 3 wheeler auto tipper</t>
  </si>
  <si>
    <t>Total number of trips made by all 3 wheeler auto tippers each day to the disposal site</t>
  </si>
  <si>
    <t>Total quantity of waste collected by 3 wheeler auto tippers</t>
  </si>
  <si>
    <t>Total quantiy of waste collected and transported to disposal site</t>
  </si>
  <si>
    <t>Segregation of Waste</t>
  </si>
  <si>
    <t>Quantity of Waste Processing</t>
  </si>
  <si>
    <t>Installed Capacity of Composting Plant</t>
  </si>
  <si>
    <t>Waste Quantity Input at the Composting Plant</t>
  </si>
  <si>
    <t>Installed Capacity of Vermi-composting Plant</t>
  </si>
  <si>
    <t>Waste Quantity Input at the Vermi-composting Plant</t>
  </si>
  <si>
    <t>Installed Capacity of Refuse Derived Fuel</t>
  </si>
  <si>
    <t>Waste Quantity Input at the Refuse Derived Fuel</t>
  </si>
  <si>
    <t>Installed Capacity of Bio Methanation/ Waste-to-Energy Plants</t>
  </si>
  <si>
    <t xml:space="preserve">Waste Quantity Input at Bio methanation/ Waste-to-Energy plants </t>
  </si>
  <si>
    <t>Installed Capacity of any other processing facilities</t>
  </si>
  <si>
    <t>Waste Quantity Input at other processing facilities</t>
  </si>
  <si>
    <t>Total Waste Quantity Input at all types of processing facilities</t>
  </si>
  <si>
    <t>Quantity of waste rejected by processing facilities at intake point</t>
  </si>
  <si>
    <t>Quantity of post-processing rejects sent to dumpsite/ landfills</t>
  </si>
  <si>
    <t>Quantity of Waste Disposal</t>
  </si>
  <si>
    <t>Customer Service</t>
  </si>
  <si>
    <t>Financial Information - Operational Expenditure on SWM during previous year</t>
  </si>
  <si>
    <t>Regular Staff &amp; Administration</t>
  </si>
  <si>
    <t>Rs. In Lakhs</t>
  </si>
  <si>
    <t>Outsourced/Contracted Staff Costs</t>
  </si>
  <si>
    <t>Repair/Maintenance Costs</t>
  </si>
  <si>
    <t>Contracted Services Cost</t>
  </si>
  <si>
    <t>Other Costs (Specify)</t>
  </si>
  <si>
    <t>Financial Information - Operational Revenues from SWM during previous year</t>
  </si>
  <si>
    <t>Arrears at the end of previous year</t>
  </si>
  <si>
    <t>Tax / Cess - Solid Waste only</t>
  </si>
  <si>
    <t>User Charges</t>
  </si>
  <si>
    <t>Fixed Charges based on Property Tax/ State Taxes/Cess/Surcharges</t>
  </si>
  <si>
    <t>Sale of Recyclables</t>
  </si>
  <si>
    <t>Sale from processing - compost/energy</t>
  </si>
  <si>
    <t>Royalty</t>
  </si>
  <si>
    <t>Additional Information (Optional)</t>
  </si>
  <si>
    <t>Senior Management-Health Officer (Sanctioned)</t>
  </si>
  <si>
    <t>Senior Management-Health Officer (Working)</t>
  </si>
  <si>
    <t>Sanitary Inspector (Sanctioned)</t>
  </si>
  <si>
    <t>Sanitary Inspector (Working)</t>
  </si>
  <si>
    <t>Sanitary Supervisor (Sanctioned)</t>
  </si>
  <si>
    <t>Sanitary Supervisor (Working)</t>
  </si>
  <si>
    <t>Maistries/Safai Karam chari (Sanctioned)</t>
  </si>
  <si>
    <t>Maistries/Safai Karam chari (Working)</t>
  </si>
  <si>
    <t>Cleaners/Drivers (Sanctioned)</t>
  </si>
  <si>
    <t>Cleaners/Drivers (Working)</t>
  </si>
  <si>
    <t>Others Specify</t>
  </si>
  <si>
    <t>Are daily records of waste received at compliant landfill maintained (MSW 2000)</t>
  </si>
  <si>
    <t>NO</t>
  </si>
  <si>
    <t>Is weighbridge available at landfill site?</t>
  </si>
  <si>
    <t>Are daily records of waste received at open dumpsites maintained?</t>
  </si>
  <si>
    <t>Is weighbridge available at dumpsite?</t>
  </si>
  <si>
    <t>User charges</t>
  </si>
  <si>
    <t xml:space="preserve">Residential </t>
  </si>
  <si>
    <t>Rs./ Month</t>
  </si>
  <si>
    <t>Slum HH</t>
  </si>
  <si>
    <t>Commercial Establishment</t>
  </si>
  <si>
    <t>Fixed charge through property tax</t>
  </si>
  <si>
    <t>SOLID WASTE MANAGEMENT INDICATORS</t>
  </si>
  <si>
    <t>Extent of cost recovery in solid waste management services</t>
  </si>
  <si>
    <t>Efficiency in collection of solid waste management charges</t>
  </si>
  <si>
    <t>SOLID WASTE MANAGEMENT RELIABILITY GRADES</t>
  </si>
  <si>
    <t>Sweepers per road length swept</t>
  </si>
  <si>
    <t>Secondary collection frequency</t>
  </si>
  <si>
    <t>% treatment capacity to solid waste generated</t>
  </si>
  <si>
    <t>Adequacy of solid waste treatment facilities</t>
  </si>
  <si>
    <t>PSP in secondary collection and transportation</t>
  </si>
  <si>
    <t>PSP in treatment and disposal of municipal solid waste</t>
  </si>
  <si>
    <t>Unit cost of solid waste management services</t>
  </si>
  <si>
    <t>Rs/tonne</t>
  </si>
  <si>
    <t>Recruited to sanctioned staff in SWM</t>
  </si>
  <si>
    <t>Total Staff (regular and contract) per 1000 households</t>
  </si>
  <si>
    <t>Average revenue per HH</t>
  </si>
  <si>
    <t>Total complaints in solid waste per 1000 HH</t>
  </si>
  <si>
    <t>EQUITY RELATED INFORMATION</t>
  </si>
  <si>
    <t>SLUMS</t>
  </si>
  <si>
    <t>General Details</t>
  </si>
  <si>
    <t>Number of slum settlements</t>
  </si>
  <si>
    <t>Population in slums</t>
  </si>
  <si>
    <t>Households in slums</t>
  </si>
  <si>
    <t>Household size in slums</t>
  </si>
  <si>
    <t>Total number of slums notified by state</t>
  </si>
  <si>
    <t>Number of slums that have been de notified since Census 2001</t>
  </si>
  <si>
    <t>Policy provision for slums</t>
  </si>
  <si>
    <t>Does the ULB have a policy to provide individual WSS services to slums?</t>
  </si>
  <si>
    <t>Does it exclude non notified slums?</t>
  </si>
  <si>
    <t>Are slum settlements covered under property tax assessment?</t>
  </si>
  <si>
    <t>If Yes, number of slum settlements covered under property tax assessment</t>
  </si>
  <si>
    <t>9</t>
  </si>
  <si>
    <t>8</t>
  </si>
  <si>
    <t>If No, specify why slum settlements are not covered under property tax assessment</t>
  </si>
  <si>
    <t>Does the ULB have a specific department or cell (e.g. UCD) responsible for service provisions in slums?</t>
  </si>
  <si>
    <t>Are external agencies (like NGOs, CBOs,private agencies) involved in service provision to slums?</t>
  </si>
  <si>
    <t>Does the ULB earmark funds for the poor in budgetary allocation?</t>
  </si>
  <si>
    <t>% of funds allocated in the budget for pro poor activities</t>
  </si>
  <si>
    <t>% expenditure for service provision in slums to total ULB expenditure</t>
  </si>
  <si>
    <t>Connection charges for individual water taps in slums?</t>
  </si>
  <si>
    <t>Do slum households have options to pay connection charges in installments?</t>
  </si>
  <si>
    <t>Specify documents needed to obtain individual water/sewer connections in slums</t>
  </si>
  <si>
    <t>(1/2/3)</t>
  </si>
  <si>
    <t>1</t>
  </si>
  <si>
    <t>1:Property tax bill,2:Ration card,3:Others,specify</t>
  </si>
  <si>
    <t>Have any surveys been conducted as part of programs/ schemes to enhance services in slums?</t>
  </si>
  <si>
    <t>If yes, mention program/ scheme under which the surveys have been undertaken?</t>
  </si>
  <si>
    <t>(1/2/3/4/5)</t>
  </si>
  <si>
    <t>5</t>
  </si>
  <si>
    <t>3</t>
  </si>
  <si>
    <t>1: Nirmal Gujarat, 2: MSNA, 3: IHSDP, 4: JnNURM, 5: Others, specify</t>
  </si>
  <si>
    <t>Services in slums at city level</t>
  </si>
  <si>
    <t>Number of settlements which have an internal water supply network</t>
  </si>
  <si>
    <t>Number of individual water connections in slums</t>
  </si>
  <si>
    <t xml:space="preserve">  Number of new connections given in slums in the current year</t>
  </si>
  <si>
    <t>Number of group connections in slums</t>
  </si>
  <si>
    <t>Number functional stand posts in slums</t>
  </si>
  <si>
    <t>Number of standposts converted to group connections for slums</t>
  </si>
  <si>
    <t>Number of individual toilets in slums</t>
  </si>
  <si>
    <t xml:space="preserve">  Number of individual toilets constructed in slums in current year</t>
  </si>
  <si>
    <t>Number of seats in pay-n-use toilets (functional toilets) in slums</t>
  </si>
  <si>
    <t>Number of seats in community toilets (functional toilets) in slums</t>
  </si>
  <si>
    <t>Number of settlements which have an internal sewage network</t>
  </si>
  <si>
    <t>Number of sewerage connections in slums</t>
  </si>
  <si>
    <t xml:space="preserve">  Number of community and pay-n-use toilets without access to safe disposal systems</t>
  </si>
  <si>
    <t>Number of slum HHs served by door to door collection of MSW</t>
  </si>
  <si>
    <t>ADDITIONAL INFORMATION ON WATER SUPPLY</t>
  </si>
  <si>
    <t>Network details</t>
  </si>
  <si>
    <t>Length of trunk main</t>
  </si>
  <si>
    <t>Length of transmission mains</t>
  </si>
  <si>
    <t>Length of trunk and/or transmission mains that have undergone renovation</t>
  </si>
  <si>
    <t>Length of distribution network</t>
  </si>
  <si>
    <t>Number of pipe breaks in the current year</t>
  </si>
  <si>
    <t>Total area under water distribution network</t>
  </si>
  <si>
    <t>Length of road network</t>
  </si>
  <si>
    <t>Source level details</t>
  </si>
  <si>
    <t>Average daily quantity of water supplied from ground sources</t>
  </si>
  <si>
    <t>Average daily quantity of water supplied from own surface sources</t>
  </si>
  <si>
    <t>Average daily quantity of water supplied from bulk raw purchase</t>
  </si>
  <si>
    <t>Average daily quantity of water supplied from bulk treated water</t>
  </si>
  <si>
    <t>Average daily quantity of water supplied from other sources (desalination, rainwater harvesting, etc)</t>
  </si>
  <si>
    <t>Total daily quantity of water supplied from source</t>
  </si>
  <si>
    <t>Average daily quantity of water supplied from WDS</t>
  </si>
  <si>
    <t>Does the ULB conduct regular assessment of availability of sources through preparation of depletion statements, etc?</t>
  </si>
  <si>
    <t>Capacity addition/augmentation to present supply of water commissioned over next 3 years from projects/schemes/bulk purchase</t>
  </si>
  <si>
    <t>Average depth of ground water table in the city</t>
  </si>
  <si>
    <t>Audits</t>
  </si>
  <si>
    <t>Has the ULB conducted studies for preliminary or detailed water audits?</t>
  </si>
  <si>
    <t>Has the ULB conducted studies for energy audits?</t>
  </si>
  <si>
    <t>Number of pumps at water source, treatment and distribution points inspected in the current year</t>
  </si>
  <si>
    <t>Number of pumps replaced/repaired in the current year</t>
  </si>
  <si>
    <t>Metering</t>
  </si>
  <si>
    <t>% of consumer meters that are functional</t>
  </si>
  <si>
    <t>Number of consumer meters that are repaired/replaced in the current year</t>
  </si>
  <si>
    <t>Metered consumption (where consumer meters are functional)</t>
  </si>
  <si>
    <t>Number of connections exempted from property tax/ water bills</t>
  </si>
  <si>
    <t>Complaint redressal System</t>
  </si>
  <si>
    <t>Is a system to record complaints received and redressed properly maintained by the ULB?</t>
  </si>
  <si>
    <t>Does the redressal system allow for monitoring and analysing complaints on a regular basis?</t>
  </si>
  <si>
    <t>Unauthorised connections</t>
  </si>
  <si>
    <t>Does the ULB have any measures to identify and/or regularise illegal connections?</t>
  </si>
  <si>
    <t>For Water supply</t>
  </si>
  <si>
    <t>Estimated number of illegal connections</t>
  </si>
  <si>
    <t>% of illegal connections regularised</t>
  </si>
  <si>
    <t>For Wastewater</t>
  </si>
  <si>
    <t>ADDITIONAL INFORMATION ON SEWERAGE AND DRAINAGE</t>
  </si>
  <si>
    <t>Sewerage and/or sullage network</t>
  </si>
  <si>
    <t>Type of system</t>
  </si>
  <si>
    <t>Does the ULB have an underground piped network?</t>
  </si>
  <si>
    <t>Length of rising/ trunk main</t>
  </si>
  <si>
    <t>Length of laterals and sub mains</t>
  </si>
  <si>
    <t>Total length of underground piped network (if typewise network details not available)</t>
  </si>
  <si>
    <t>Length of trunk and/or lateral mains that have undergone replacement/renovation in the past 3 years</t>
  </si>
  <si>
    <t>Area covered by rising/trunk main</t>
  </si>
  <si>
    <t>sq. km</t>
  </si>
  <si>
    <t>Area covered by laterals and sub mains</t>
  </si>
  <si>
    <t>Total area covered by underground piped network (if typewise network details not available)</t>
  </si>
  <si>
    <t>Does the ULB have a covered drainage network?</t>
  </si>
  <si>
    <t>Length of covered drainage network</t>
  </si>
  <si>
    <t>Area covered by covered drainage network</t>
  </si>
  <si>
    <t>Does the ULB have open drainage network?</t>
  </si>
  <si>
    <t>Length of open drainage network</t>
  </si>
  <si>
    <t>Area covered by open drainage network</t>
  </si>
  <si>
    <t>Augmentation and efficiency of network</t>
  </si>
  <si>
    <t>Does the ULB have a plan to develop/augment its sewer network?</t>
  </si>
  <si>
    <t>Does the ULB contract out services related to O&amp;M operations for sewerage?</t>
  </si>
  <si>
    <t>Number of sewage pumps replaced/repaired in the current year</t>
  </si>
  <si>
    <t>Number of HHs with individual toilets in the city</t>
  </si>
  <si>
    <t>Number of residential sewer connections in the city</t>
  </si>
  <si>
    <t>Number of non-residential sewer connections in the city</t>
  </si>
  <si>
    <t>Number of new sewer connections provided in the current year</t>
  </si>
  <si>
    <t>Number of sewer overflows reported in the current year</t>
  </si>
  <si>
    <t>Does the ULB have a sewage treatment plant?</t>
  </si>
  <si>
    <t>If Yes, specify type of treatment</t>
  </si>
  <si>
    <t>1: UASB, 2: Lagoons, 3: Oxidation pond</t>
  </si>
  <si>
    <t>Reuse of wastewater</t>
  </si>
  <si>
    <t>Does the ULB charge for untreated/treated wastewater that is reused?</t>
  </si>
  <si>
    <t xml:space="preserve">   If Yes, please specify the rate for untreated wastewater</t>
  </si>
  <si>
    <t>Rs/MLD</t>
  </si>
  <si>
    <t xml:space="preserve">   If Yes, please specify the rate for treated wastewater</t>
  </si>
  <si>
    <t>Is quality of untreated wastewater tested before disposal/reuse?</t>
  </si>
  <si>
    <t>If yes, effluent samples that have been tested for untreated wastewater</t>
  </si>
  <si>
    <t>If yes, effluent samples that have passed for untreated wastewater</t>
  </si>
  <si>
    <t>Is the untreated waste water being reused?</t>
  </si>
  <si>
    <t xml:space="preserve">   If Yes, estimated volume of untreated wastewater reused </t>
  </si>
  <si>
    <t xml:space="preserve">   If Yes, specify the purpose</t>
  </si>
  <si>
    <t>1:Agriculture,2:Sewage farms,3:Others,specify</t>
  </si>
  <si>
    <t>Means of disposal of waste water</t>
  </si>
  <si>
    <t>Sullage</t>
  </si>
  <si>
    <t>Untreated waste water</t>
  </si>
  <si>
    <t>Treated waste water</t>
  </si>
  <si>
    <t>1:on land,2:in water bodies,3:Others,specify</t>
  </si>
  <si>
    <t>In areas of ULB/ ULBs with no sewer/drainage network</t>
  </si>
  <si>
    <t>Estimated properties connected to septic tanks</t>
  </si>
  <si>
    <t>Estimated properties connected to soak pits</t>
  </si>
  <si>
    <t>Estimated number of septic tanks in the ULB</t>
  </si>
  <si>
    <t>Estimated number of septic tanks cleaned annually</t>
  </si>
  <si>
    <t>If means of disposal is by septic tanks, agency for cleaning septic tanks?</t>
  </si>
  <si>
    <t>1:ULB, 2:Private agency, 3:Both</t>
  </si>
  <si>
    <t>Charge levied by agency for emptying septic tanks inside city limits</t>
  </si>
  <si>
    <t>Rs/trip</t>
  </si>
  <si>
    <t>Charge levied by agency for emptying tanks outside city limits</t>
  </si>
  <si>
    <t>Does the ULB have facilities to treat septage?</t>
  </si>
  <si>
    <t>If yes, then specify installed capacity of septage treatment facility</t>
  </si>
  <si>
    <t>Cu.m / Year</t>
  </si>
  <si>
    <t>If yes, then specify quantity of septage received at treatment facility</t>
  </si>
  <si>
    <t>If yes, then specify quantum of treated septage reused after treatment</t>
  </si>
  <si>
    <t>Kgs / Year</t>
  </si>
  <si>
    <t>Number of Treated Septage Samples Tested in a year</t>
  </si>
  <si>
    <t>Number of Treated Septage Samples Passed in a year</t>
  </si>
  <si>
    <t>Location of disposal of septic tank waste</t>
  </si>
  <si>
    <t>1: Sewage treatment plants(inclu. Functional oxidation ponds), 2: Open dumps, 3: Water bodies</t>
  </si>
  <si>
    <t>ADDITIONAL INFORMATION ON SOLID WASTE MANAGEMENT</t>
  </si>
  <si>
    <t>Solid Waste Management</t>
  </si>
  <si>
    <t>Total number of wards in the city</t>
  </si>
  <si>
    <t>Number of wards covered by primary collection agencies for SWM</t>
  </si>
  <si>
    <t>Private</t>
  </si>
  <si>
    <t>Resident Welfare Associations</t>
  </si>
  <si>
    <t>NGO/CBOs</t>
  </si>
  <si>
    <t>Number of sweepers deployed</t>
  </si>
  <si>
    <t>Total length of road swept</t>
  </si>
  <si>
    <t>Number of secondary storage bins</t>
  </si>
  <si>
    <t>Capacity of secondary storage bins</t>
  </si>
  <si>
    <t>tonnes</t>
  </si>
  <si>
    <t>Frequency of secondary collection of waste</t>
  </si>
  <si>
    <t>Does the ULB contract out services related to</t>
  </si>
  <si>
    <t>Secondary collection?</t>
  </si>
  <si>
    <t>Transportation?</t>
  </si>
  <si>
    <t>Treatment?</t>
  </si>
  <si>
    <t>Disposal?</t>
  </si>
  <si>
    <t>ADDITIONAL INFORMATION ON FINANCE</t>
  </si>
  <si>
    <t>Financial Details for ULB</t>
  </si>
  <si>
    <t>Receipts and Expenditure</t>
  </si>
  <si>
    <t>Capital receipts of ULB</t>
  </si>
  <si>
    <t>Capital expenditure for municipal services</t>
  </si>
  <si>
    <t xml:space="preserve">Wastewater </t>
  </si>
  <si>
    <t>MSWM</t>
  </si>
  <si>
    <t>Total</t>
  </si>
  <si>
    <t>Total Revenue Income of ULB</t>
  </si>
  <si>
    <t>Total Revenue Expenditure of ULB</t>
  </si>
  <si>
    <t xml:space="preserve">Total payment due to the state electricity board for oustanding electricity bills and penalties </t>
  </si>
  <si>
    <t xml:space="preserve">Total payments due for bulk supply (irrigation, Narmada etc,.) including charges and penalties </t>
  </si>
  <si>
    <t>Improving Collection efficiency</t>
  </si>
  <si>
    <t>Does the ULB levy charge in the form of taxes, user fees, etc for providing services related to</t>
  </si>
  <si>
    <t>Water supply?</t>
  </si>
  <si>
    <t>Wastewater (Sanitation and Sewerage)?</t>
  </si>
  <si>
    <t>MSWM?</t>
  </si>
  <si>
    <t>SWD?</t>
  </si>
  <si>
    <t>Connection charge for individual water connection for slums in city</t>
  </si>
  <si>
    <t>600.0</t>
  </si>
  <si>
    <t>Connection charge for individual water connection in non poor HHs in city</t>
  </si>
  <si>
    <t>Does the ULB facilitate payment of bills through banks?</t>
  </si>
  <si>
    <t>Does the ULB have various mechanisms to facilitate collection of bills at ward level like e-kiosks, civic centres,etc?</t>
  </si>
  <si>
    <t>Does the ULB outsource its bill collections to private agencies, etc?</t>
  </si>
  <si>
    <t>What is the penalty for late payment?</t>
  </si>
  <si>
    <t>12.0</t>
  </si>
  <si>
    <t>EQUITY RELATED INDICATORS</t>
  </si>
  <si>
    <t>Coverage of water supply connections in slums</t>
  </si>
  <si>
    <t>Coverage of individual toilets in slums</t>
  </si>
  <si>
    <t>Coverage of wastewater network services in slums</t>
  </si>
  <si>
    <t>Household level coverage of solid waste management services in slums</t>
  </si>
  <si>
    <t>EQUITY RELATED RELIABILITY GRADES</t>
  </si>
  <si>
    <t>Coverage</t>
  </si>
  <si>
    <t>% of slum settlements having internal water supply network</t>
  </si>
  <si>
    <t>% of slum settlements having internal wastewater network</t>
  </si>
  <si>
    <t>Presence of policy enabling provision for services in slums</t>
  </si>
  <si>
    <t>Efforts made to simplify connection procedures for slum HHs</t>
  </si>
  <si>
    <t>% of uncovered HHs covered with water connections in slums during the year</t>
  </si>
  <si>
    <t>Number of toilets constructed during the year</t>
  </si>
  <si>
    <t>% of households defecating in open in slums</t>
  </si>
  <si>
    <t>% of population with access to improved water services in slums</t>
  </si>
  <si>
    <t>% of population with access to improved sanitation services in slums</t>
  </si>
  <si>
    <t>% budget for pro poor activities</t>
  </si>
  <si>
    <t>Connection charge for urban poor to non poor HHs in water supply</t>
  </si>
  <si>
    <t>Connection charge for urban poor to non poor HHs in wastewater</t>
  </si>
  <si>
    <t>% of expenditure in slums to total ULB expenditure</t>
  </si>
  <si>
    <t>Parameters for composite score</t>
  </si>
  <si>
    <t>Policy and strategy enabling service provision to slums</t>
  </si>
  <si>
    <t>Does the ULB have any policy that enables provision of services to slums?</t>
  </si>
  <si>
    <t>Does the ULB have any criteria in providing individual connections to slum households?</t>
  </si>
  <si>
    <t>Are external agencies involved in service provisions to slums?</t>
  </si>
  <si>
    <t>Service provision</t>
  </si>
  <si>
    <t>Does the ULB have a specific department or cell responsible for service provision to slums?</t>
  </si>
  <si>
    <t>Has the ULB provided  individual water connections in the current year</t>
  </si>
  <si>
    <t>Has the ULB provided individual toilets in the current year</t>
  </si>
  <si>
    <t xml:space="preserve"> Do 50% or more HHs have individual water connections?</t>
  </si>
  <si>
    <t xml:space="preserve"> Do 50 % or more HHs have individual toilets?</t>
  </si>
  <si>
    <t>Composite score</t>
  </si>
  <si>
    <t>SET TARGET FOR 2013-14</t>
  </si>
  <si>
    <t>Projected HHs</t>
  </si>
  <si>
    <t>Projected population</t>
  </si>
  <si>
    <t>Residential water consumption including public taps</t>
  </si>
  <si>
    <t>NRW reduction (%)</t>
  </si>
  <si>
    <t>na</t>
  </si>
  <si>
    <t>Per capita supply at consumer end (lpcd)</t>
  </si>
  <si>
    <r>
      <t xml:space="preserve">2013-14 </t>
    </r>
    <r>
      <rPr>
        <b/>
        <sz val="9"/>
        <color theme="0"/>
        <rFont val="Calibri"/>
        <family val="2"/>
        <scheme val="minor"/>
      </rPr>
      <t>with  project</t>
    </r>
  </si>
  <si>
    <t>Projected properties</t>
  </si>
  <si>
    <t>Installed capacity of secondary treatment facilities</t>
  </si>
  <si>
    <t>Projected commercial establishment</t>
  </si>
  <si>
    <t>Expenditure required for segregation at source and during transportation</t>
  </si>
  <si>
    <t>CLASS: B</t>
  </si>
  <si>
    <t>Source augmentation</t>
  </si>
  <si>
    <t>Construction of scientific landfill site</t>
  </si>
  <si>
    <t>Ongoing distribution network expansion project</t>
  </si>
  <si>
    <t>Hours of water supply</t>
  </si>
  <si>
    <t>Ongoing expansion of sewerage network</t>
  </si>
  <si>
    <t>MLD - Installed capacity</t>
  </si>
  <si>
    <t>Ongoing Projects</t>
  </si>
  <si>
    <t>Additional water withdrawal (MLD)</t>
  </si>
  <si>
    <t>IMPACT ON :-O&amp;M Cost recovery for water supply services (%)</t>
  </si>
  <si>
    <t>Installed capacity (MT/month)</t>
  </si>
  <si>
    <t>Waste input (MT/month)</t>
  </si>
  <si>
    <t>IMPACT ON :- O&amp;M Cost recovery for solid waste management (%)</t>
  </si>
  <si>
    <t>Coverage of Toilets (%)</t>
  </si>
  <si>
    <t>Coverage of wastewater network services (%)</t>
  </si>
  <si>
    <t>Collection efficiency of wastewater networks (%)</t>
  </si>
  <si>
    <t>Adequacy of wastewater treatment capacity (%)</t>
  </si>
  <si>
    <t>Quality of sewage treatment (%)</t>
  </si>
  <si>
    <t>Household level coverage of solid waste management services (%)</t>
  </si>
  <si>
    <r>
      <rPr>
        <b/>
        <sz val="11"/>
        <color theme="0"/>
        <rFont val="Calibri"/>
        <family val="2"/>
        <scheme val="minor"/>
      </rPr>
      <t>Projected for</t>
    </r>
    <r>
      <rPr>
        <b/>
        <sz val="10"/>
        <color theme="0"/>
        <rFont val="Calibri"/>
        <family val="2"/>
        <scheme val="minor"/>
      </rPr>
      <t xml:space="preserve"> </t>
    </r>
    <r>
      <rPr>
        <b/>
        <sz val="14"/>
        <color theme="0"/>
        <rFont val="Calibri"/>
        <family val="2"/>
        <scheme val="minor"/>
      </rPr>
      <t>2013-14</t>
    </r>
  </si>
  <si>
    <t>CITY: XYZ</t>
  </si>
  <si>
    <r>
      <rPr>
        <b/>
        <sz val="20"/>
        <color theme="0"/>
        <rFont val="Palatino Linotype"/>
        <family val="1"/>
      </rPr>
      <t xml:space="preserve">Performance Assessment System </t>
    </r>
    <r>
      <rPr>
        <b/>
        <sz val="18"/>
        <color theme="0"/>
        <rFont val="Palatino Linotype"/>
        <family val="1"/>
      </rPr>
      <t xml:space="preserve">
PAS Project </t>
    </r>
  </si>
  <si>
    <t xml:space="preserve">Urban Water Supply and Sanitation Services </t>
  </si>
  <si>
    <t>Better information for better urban water and sanitation</t>
  </si>
  <si>
    <t>CEPT University, Ahmedabad</t>
  </si>
  <si>
    <t xml:space="preserve">Setting targets on SLB indicators implies that the ULB has to carry out various actions. The Model provides details of physical outputs needed for these actions. It also captures inter-linkages among these actions and their impact on SLB indicators. Using the inputs provided, the Model estimates both the capital expenditure required as well as future O&amp;M expenditure. </t>
  </si>
  <si>
    <t>The Model requires inputting ongoing capital investment project details and then set preliminary target values for each SLB indicator for water supply, wastewater and solid waste management. Based on these preliminary targets, it calculates the cost recovery indicator for each sub-sector using the interlinked framework .</t>
  </si>
  <si>
    <t>WASTEWATER</t>
  </si>
  <si>
    <r>
      <t xml:space="preserve">AREA </t>
    </r>
    <r>
      <rPr>
        <sz val="10"/>
        <color indexed="8"/>
        <rFont val="Calibri"/>
        <family val="2"/>
      </rPr>
      <t xml:space="preserve">(sq. kms)    </t>
    </r>
  </si>
  <si>
    <r>
      <t>The Model provides trend analysis for all SLB indicators for previou</t>
    </r>
    <r>
      <rPr>
        <sz val="12"/>
        <rFont val="Calibri"/>
        <family val="2"/>
        <scheme val="minor"/>
      </rPr>
      <t>s four</t>
    </r>
    <r>
      <rPr>
        <sz val="12"/>
        <color theme="1"/>
        <rFont val="Calibri"/>
        <family val="2"/>
        <scheme val="minor"/>
      </rPr>
      <t xml:space="preserve"> years, and trend based projections considering ongoing projects for next year. It also provides an analysis of past trends for sectoral situation such as quantity of water supplied, number of connections, etc. These trends enable the ULBs to assess feasible outputs for setting preliminary target for each indicator. </t>
    </r>
  </si>
  <si>
    <t>No. of HHs served</t>
  </si>
  <si>
    <t>Project cost (Rs. in lakh)</t>
  </si>
  <si>
    <t>Income generated by increasing coverage (Rs. in lakh)</t>
  </si>
  <si>
    <t>If source of water is bulk purchase, then specify bulk water charge (Rs./kl)</t>
  </si>
  <si>
    <t>Additional water augmentation done/required to achieve target (MLD)</t>
  </si>
  <si>
    <t>Carry out water audit and implement measures to reduce Non Revenue Water (NRW)</t>
  </si>
  <si>
    <t>NRW (%)</t>
  </si>
  <si>
    <t xml:space="preserve">Additional number of connections metered/required to achieve target </t>
  </si>
  <si>
    <t>Expenditure to additionally meter water supply connections (Rs. in lakh)</t>
  </si>
  <si>
    <t>Income generated by metering water supply connections (Rs. in lakh)</t>
  </si>
  <si>
    <t>Benefitted population</t>
  </si>
  <si>
    <t>Expenditure required to improve customer redressal complaints 
(Rs. in lakh)</t>
  </si>
  <si>
    <t>Expenditure required to construct/improve lab facilities (Rs. in lakh)</t>
  </si>
  <si>
    <t>Water supply revenue income (Rs. in lakh)</t>
  </si>
  <si>
    <t>Water supply revenue expenditure (Rs. in lakh)</t>
  </si>
  <si>
    <t>Revenue demand per connection (Rs./connection)</t>
  </si>
  <si>
    <t>Unit cost of electricity for water production (Rs./kl)</t>
  </si>
  <si>
    <t>Expenditure required to conduct and implement energy audit recommendations (Rs. in lakh)</t>
  </si>
  <si>
    <t>(Increase)/Savings in energy expenditure (Rs. in lakh)</t>
  </si>
  <si>
    <t>Revenue income generated with improved collection (Rs. in lakh)</t>
  </si>
  <si>
    <t>Expenditure required to improve collection efficiency (Rs. in lakh)</t>
  </si>
  <si>
    <t xml:space="preserve">Trend of capital expenditure spent on water supply (Rs. in lakh) </t>
  </si>
  <si>
    <t>Financial requirement assessment to achieve targets set for 2012-13 (Rs. in lakh)</t>
  </si>
  <si>
    <t>Additional properties served/required with toilet facilities to achieve target</t>
  </si>
  <si>
    <t>Number of properties with access to toilets</t>
  </si>
  <si>
    <t>Expenditure required to construct new individual toilet facilities (Rs. in lakh)</t>
  </si>
  <si>
    <t>Beneficiary contribution for toilet construction (Rs. in lakh)</t>
  </si>
  <si>
    <t>Expenditure required to construct new community toilet facilities (Rs. in lakh)</t>
  </si>
  <si>
    <t>No. of households (HH) served</t>
  </si>
  <si>
    <t>Additional connection given/required for achieving target</t>
  </si>
  <si>
    <t>Construction/augmentation of STPs</t>
  </si>
  <si>
    <t>Volume of wastewater collected at treatment plant (MLD)</t>
  </si>
  <si>
    <t>Additional augmentation of sewerage network done/required to collect sewage (MLD)</t>
  </si>
  <si>
    <t>Additional augmentation of STP done/required to achieve target (MLD)</t>
  </si>
  <si>
    <t>MLD - Reuse and recycle</t>
  </si>
  <si>
    <t>Extent of reuse and recycle of wastewater (%)</t>
  </si>
  <si>
    <t>Volume of wastewater reused or recycled (MLD)</t>
  </si>
  <si>
    <t>Additional augmentation/installation of reuse or recycle facilities (MLD)</t>
  </si>
  <si>
    <t>Expenditure required to improve quality of sewage treated (Rs. in lakh)</t>
  </si>
  <si>
    <t>IMPACT ON :- O&amp;M Cost recovery for wastewater services (%)</t>
  </si>
  <si>
    <t>Wastewater revenue income (Rs. in lakh)</t>
  </si>
  <si>
    <t>Wastewater revenue expenditure (Rs. in lakh)</t>
  </si>
  <si>
    <t>Revenue demand per connection or per toilet (Rs./connection)</t>
  </si>
  <si>
    <t>Efficiency in collection of wastewater related charges (%)</t>
  </si>
  <si>
    <t>Note: In case where water supply is not managed by city, cost should also be covered for solid waste management, otherwise cost is included in water supply</t>
  </si>
  <si>
    <t xml:space="preserve">Trend of capital expenditure spent on wastewater (Rs. in lakh) </t>
  </si>
  <si>
    <t>Expenditure required to collect waste  (Rs. in lakh)</t>
  </si>
  <si>
    <t>Extent of segregation of municipal solid waste (%)</t>
  </si>
  <si>
    <t>Installation of reused/recycled facility</t>
  </si>
  <si>
    <t>Extent of municipal solid waste processed and recycled (%)</t>
  </si>
  <si>
    <t>Additional augmentation/installation of reuse or recycle facilities (MT/Month)</t>
  </si>
  <si>
    <t>Additional augmentation/installation of Sanitary landfill site (MT)</t>
  </si>
  <si>
    <t xml:space="preserve">Trend of capital expenditure spent on solid waste (Rs. in lakh) </t>
  </si>
  <si>
    <t>Financial requirement assessment to achieve targets set for 
2012-13 (Rs. in lakh)</t>
  </si>
  <si>
    <t>Income generated/savings through improvement actions</t>
  </si>
  <si>
    <t>Per connection charges paid by citizens (Rs./connection)</t>
  </si>
  <si>
    <t>Block cost for metering (Rs./meter)</t>
  </si>
  <si>
    <t>Expenses required to improve complaint redressal process 
(Rs. in lakh)</t>
  </si>
  <si>
    <t>Expenses required to improve water quality (Rs. in lakh)</t>
  </si>
  <si>
    <t>Planned % increase in revenue demand per HH per annum</t>
  </si>
  <si>
    <t>Expenses required to improve electrical equipments and others (Rs. in lakh)</t>
  </si>
  <si>
    <t>Expenses required to improve collection efficiency (Rs. in lakh)</t>
  </si>
  <si>
    <t>Grants expected (Rs. in lakh)</t>
  </si>
  <si>
    <t>Block cost to construct one individual toilet (Rs.)</t>
  </si>
  <si>
    <t>Block cost to construct one community toilet seat (Rs.)</t>
  </si>
  <si>
    <t>Per connection charges paid by citizens (Rs.)</t>
  </si>
  <si>
    <t>Grants expected in 2012-13 (Rs. in lakh)</t>
  </si>
  <si>
    <t>Block Cost per HH/Establishment to increase coverage (Rs.)</t>
  </si>
  <si>
    <t>Expenses required to collect additional waste (Rs. in lakh)</t>
  </si>
  <si>
    <t>Cost to increase segregation of waste at household level and during transportation (Rs./HH)</t>
  </si>
  <si>
    <t>Grants expected in 2012-13 
(Rs. in lakh)</t>
  </si>
  <si>
    <t>MLD - Wastewater received</t>
  </si>
  <si>
    <t>Construction/augmentation of tertiary treatment plant for reuse/recycling of wastewater</t>
  </si>
  <si>
    <t>Additional number of households connected/required to achieve target</t>
  </si>
  <si>
    <t>Extent of functional metering of water supply  connections (%)</t>
  </si>
  <si>
    <t>Implementation of 24x7 Water Supply System</t>
  </si>
  <si>
    <t>Note: If water supply is managed by city, then cost includes wastewater and solid waste management also.</t>
  </si>
  <si>
    <t>Total number of households and establishments covered by door to door collection</t>
  </si>
  <si>
    <t>Additional households and establishments required to achieve target</t>
  </si>
  <si>
    <t>Expenditure required per HH/establishment to increase coverage 
(Rs. in lakh)</t>
  </si>
  <si>
    <t>Quantity of waste arriving at processing/disposal facility in segregated manner (MT/Month)</t>
  </si>
  <si>
    <t>Number of HHs/commercial establishment that will segregating waste</t>
  </si>
  <si>
    <t>Solid waste management revenue income (Rs. in lakh)</t>
  </si>
  <si>
    <t>Solid waste management revenue expenditure (Rs. in lakh)</t>
  </si>
  <si>
    <t>Revenue demand per household (Rs./HH)</t>
  </si>
  <si>
    <t>Efficiency in collection of solid waste management  related charges (%)</t>
  </si>
  <si>
    <t>Note: Expenses for improving collection efficiency for solid waste management is included in water supply.</t>
  </si>
  <si>
    <t>Note: Expenses for improving complaint redressal for solid waste management is included in water supply.</t>
  </si>
  <si>
    <t>Wastewater</t>
  </si>
  <si>
    <t>Timeline</t>
  </si>
  <si>
    <t>Expenditure/Income</t>
  </si>
  <si>
    <t xml:space="preserve">The Target Model assists urban local bodies (ULB) to set targets for all Service Level Benchmarking (SLB) indicators in water supply, wastewater and solid waste management. This is one of the conditions set by the Thirteenth Finance Commission for performance grants. The Model is based on a framework for Performance Improvement Planning. It estimates the service delivery outcome based on the past trends on each SLB indicator and ongoing capital investment projects, as well as identifies the physical and financial implications of its envisaged targets. It also estimates the O&amp;M expenditure implications and shows the cost recovery in each sector. </t>
  </si>
  <si>
    <t>Key Performance Indicators (KPIs) 
and action areas</t>
  </si>
  <si>
    <t>Expenditure required by ULB to achieve target
(Coverage of individual water connection can be increased by following action)</t>
  </si>
  <si>
    <t>Minimum 2 to 5 years for proposal and detailed project report (DPR) preparation, approval and project implementation.</t>
  </si>
  <si>
    <t>Construction of borewells (if groundwater is easily available and good quality)</t>
  </si>
  <si>
    <t>Augmentation of lake, pond etc.</t>
  </si>
  <si>
    <t>Cost will depend on length of transmission network laid down from tapping point to the city.
Additional revenue expenditure for Narmada water purchase. This is  Rs. 4/kl for municipalities and Rs. 6/kl for municipal corporations</t>
  </si>
  <si>
    <t>Rs. 10 - 20 lakh per MLD</t>
  </si>
  <si>
    <t>Rs. 80,000 to Rs. 2,00,000 per borewell (Depends on depth of borewell and type of soil)</t>
  </si>
  <si>
    <t>Reduction of Non Revenue Water (%)</t>
  </si>
  <si>
    <t>Rs. 2 - 10 lakh. Depend on the no. of sources, WTP, WDS and water supply timings</t>
  </si>
  <si>
    <t xml:space="preserve">Rs. 8.5 lakh for unmetered water supply scheme having population of 25,000 OR 
Rs. 6.3 lakh for metered water supply schemes having population of 25,000. For more details refer </t>
  </si>
  <si>
    <t>Cost will depend on no of connections replaced. Rs. 1,000 - 2,000 per unmetered connection and Rs. 5,000 - 10,000 per metered connections</t>
  </si>
  <si>
    <t>Rs. 2,000 - 50,000 per meter. Cost will vary based on type of the meter installed like multi-jet dry type wheel meter costs Rs. 2000/ meter whereas automated reading system costs Rs 50,000/meter</t>
  </si>
  <si>
    <t>Repairing/replacement of trunk/transmission/distribution line</t>
  </si>
  <si>
    <t>Cost will depend on length of trunk/transmission/distribution line repaired or replaced</t>
  </si>
  <si>
    <t>GIS mapping, Hydraulic Modelling and installation of Bulk Flow Meters and DPR preparation</t>
  </si>
  <si>
    <t>Cost will depend on size of city, length and nodes of water supply network, no. of bulk flow meters etc. For more details refer</t>
  </si>
  <si>
    <t>Implementation of 24x7 water supply</t>
  </si>
  <si>
    <t>Cost will depend on % of distribution network to be replaced. If entire distribution network is to be replaced, then cost required would be average Rs 5,000 per person</t>
  </si>
  <si>
    <t>Low cost; Prepare citizen charter and manual complain redressal system</t>
  </si>
  <si>
    <t>Average cost - Rs. 10 lakh. This will include mobile application, software and hardware cost</t>
  </si>
  <si>
    <t>Expenditure required to construct/improve water quality</t>
  </si>
  <si>
    <t>Rs. 1 - 2 lakh per no of installations at WTP and/or WDS</t>
  </si>
  <si>
    <t>Computerised billing and collection software</t>
  </si>
  <si>
    <t>Rs. 7 - 10 lakh (including cost of software and hardware procurement)</t>
  </si>
  <si>
    <t>Rs. 5,000 to 10,000 per pump</t>
  </si>
  <si>
    <t>Rs. 10,000/ individual toilet construction</t>
  </si>
  <si>
    <t>Rs. 20,000/  toilet seat construction, excluding cost related to IEC activities like public awareness etc.</t>
  </si>
  <si>
    <t>Add connections within existing wastewater collection network</t>
  </si>
  <si>
    <t>Minimum 2-5 years for proposal and DPR preparation, approval and project implementation</t>
  </si>
  <si>
    <t>Rs. 25 to 50 lakh per km wastewater collection network lay down</t>
  </si>
  <si>
    <t>Expenditure required to augment STP capacity 
(Rs. in lakh)</t>
  </si>
  <si>
    <t>About 1 to 3 years for project preparation, approval and implementation</t>
  </si>
  <si>
    <t>Rs. 45 - 60 lakh per MLD</t>
  </si>
  <si>
    <t>Extent of reuse and recycle of wastewater</t>
  </si>
  <si>
    <t>Expenditure required to augment/install reuse or recycle facilities</t>
  </si>
  <si>
    <t>Reuse treated wastewater for agriculture purpose</t>
  </si>
  <si>
    <t>Rs. 5 - 20 lakh/MLD for oxidation pond or aerated lagoon construction</t>
  </si>
  <si>
    <t>Cost will depend on type of treatment facilities provided like activated carbon filter, membrane based etc.</t>
  </si>
  <si>
    <t>Improve primary and secondary treatment efficiency</t>
  </si>
  <si>
    <t>Note: Expenses for improving complaint redressal for wastewater is included in water supply.</t>
  </si>
  <si>
    <t>Efficiency in collection of wastewater related charges</t>
  </si>
  <si>
    <t>Revenue income generated with improved collection</t>
  </si>
  <si>
    <t>Note: Expenses for improving collection efficiency for wastewater is included in water supply.</t>
  </si>
  <si>
    <t>O&amp;M Cost recovery for wastewater services</t>
  </si>
  <si>
    <t>Wastewater revenue income</t>
  </si>
  <si>
    <t>Low cost (revised water tariff per connection)</t>
  </si>
  <si>
    <t xml:space="preserve">Expenditure required by urban local body (ULB) to achieve target
</t>
  </si>
  <si>
    <t>Low cost; this activity will increase solid waste income, 
Block cost of a primary collection vehicle is Rs. 21,000, 
Block cost of one primary collection equipment/HH = Rs. 84</t>
  </si>
  <si>
    <t>The number of primary collection equipment that should be provided also depends on number of HHs that need to be added, as per the CPHEEO norm, one sweeper can cover around 150-250 HHs</t>
  </si>
  <si>
    <t>Block cost of a secondary collection bin of 7 cum capacity 
(3.5 MT capacity) is Rs. 48,000 ,                                                                                Block cost of secondary storage bins per MT of waste = Rs. 13,714</t>
  </si>
  <si>
    <t>The number of bins to be placed in the city would also depend on waste generated. As per CPHEEO norms, the bins to be placed in a city should be double the waste generated in the city</t>
  </si>
  <si>
    <t>It’s a low cost action. The implication of these actions will be on treatment plant efficiency</t>
  </si>
  <si>
    <t>Installation of two bin system at HH level</t>
  </si>
  <si>
    <t>Installation of treatment facility it can be either  vermi-composting plant, composting plant and waste to energy plant</t>
  </si>
  <si>
    <t>It is substantial cost intervention. The  block cost of setting up a composting plant is Rs. 7 - 8 lakh. This activity will have implication on solid waste income that will be generated by selling of fertiliser</t>
  </si>
  <si>
    <t>Cost will depend on size of city, quantum of waste generated in city, quantum of waste refuse coming from the treatment facility.                                                                                                  Block cost of landfill site per year in Rs./MT = 38,087</t>
  </si>
  <si>
    <t xml:space="preserve">Installation of weigh bridge would be useful as this would be useful to weigh the waste at treatment as well as disposal site. </t>
  </si>
  <si>
    <t>Efficiency in collection of solid waste management related charges (%)</t>
  </si>
  <si>
    <t>O&amp;M Cost recovery for solid waste management services (%)</t>
  </si>
  <si>
    <t>Solid waste management tariff revision</t>
  </si>
  <si>
    <t>Revenue demand per HH (Rs./HH)</t>
  </si>
  <si>
    <t>Low cost (Revised solid waste management tariff per HH)</t>
  </si>
  <si>
    <t xml:space="preserve">Solid waste management revenue expenditure 
</t>
  </si>
  <si>
    <t>Plans for tracking vehicle movements to minimise fuel costs for collection, transportation activities and even at treatment and disposal site</t>
  </si>
  <si>
    <t>Low cost action. This would have major implication in reduction of fuel charges for transportation, treatment and disposal facility.</t>
  </si>
  <si>
    <t>Continuity of supply 
(Hours of supply in a day)</t>
  </si>
  <si>
    <t>Coverage of toilets</t>
  </si>
  <si>
    <t>O&amp;M cost recovery for wastewater services (%)</t>
  </si>
  <si>
    <t>Efficiency in collection of solid waste management related charges</t>
  </si>
  <si>
    <t>Annexure: Schedule of rates for Water Audit</t>
  </si>
  <si>
    <r>
      <t>ii)</t>
    </r>
    <r>
      <rPr>
        <sz val="11"/>
        <rFont val="Calibri"/>
        <family val="2"/>
      </rPr>
      <t xml:space="preserve"> Add for population above 25,000 up to 50,000 </t>
    </r>
  </si>
  <si>
    <r>
      <t>iv)</t>
    </r>
    <r>
      <rPr>
        <sz val="11"/>
        <rFont val="Calibri"/>
        <family val="2"/>
      </rPr>
      <t xml:space="preserve"> Add for population above 50,000 up to 100,000 </t>
    </r>
  </si>
  <si>
    <r>
      <t>vi)</t>
    </r>
    <r>
      <rPr>
        <sz val="11"/>
        <rFont val="Calibri"/>
        <family val="2"/>
      </rPr>
      <t xml:space="preserve"> Add for population above 100,000 up to 150,000 </t>
    </r>
  </si>
  <si>
    <r>
      <t>viii)</t>
    </r>
    <r>
      <rPr>
        <sz val="11"/>
        <rFont val="Calibri"/>
        <family val="2"/>
      </rPr>
      <t xml:space="preserve"> Add for population above 150,000 up to 200,000 </t>
    </r>
  </si>
  <si>
    <r>
      <t>vii)</t>
    </r>
    <r>
      <rPr>
        <sz val="11"/>
        <rFont val="Calibri"/>
        <family val="2"/>
      </rPr>
      <t> For towns of population 150,000</t>
    </r>
  </si>
  <si>
    <r>
      <t>x)</t>
    </r>
    <r>
      <rPr>
        <sz val="11"/>
        <rFont val="Calibri"/>
        <family val="2"/>
      </rPr>
      <t xml:space="preserve"> Add for population above 200,000 </t>
    </r>
  </si>
  <si>
    <r>
      <t>ix)</t>
    </r>
    <r>
      <rPr>
        <sz val="11"/>
        <rFont val="Calibri"/>
        <family val="2"/>
      </rPr>
      <t> For towns of population 200,000</t>
    </r>
  </si>
  <si>
    <t>a) Upto min area of 64 sq. km.</t>
  </si>
  <si>
    <t>64 sq. km.</t>
  </si>
  <si>
    <t>b) Beyond 64 Sq. km.</t>
  </si>
  <si>
    <t>For Length Oriented items like pipe lines, dams etc.</t>
  </si>
  <si>
    <t>i) Supply and installation of software with provision of making analysis</t>
  </si>
  <si>
    <t>The Model requires the ULBs to provide block costs or total expenditure for each selected action. Various options to improve performance are listed in the section 'Guidelines' . ULBs need to review these actions and put appropriate costs  for each action based on the prevailing rates in their city. For some actions, the ULB has to also provide the likely income and/or savings in current expenditure. In deciding the actions, ULBs need to take cognisance of the ongoing projects.</t>
  </si>
  <si>
    <t xml:space="preserve">The Model provides an estimate of total financial requirements based on selected targets and related actions. The ULBs need to identify funds that can be mobilised through their own internal resources, grants and any other sources. Based on this, funding gap is identified. This enables the ULB to adjust their targets to ensure that no major funding gaps remain. </t>
  </si>
  <si>
    <t>Capital expenditure requirement</t>
  </si>
  <si>
    <t>Block cost to improve treatment quality (Rs. in lakh)</t>
  </si>
  <si>
    <t>Rs. 20 lakh to 40 lakh per km distribution network lay down</t>
  </si>
  <si>
    <t>Expenditure required by ULB to achieve target (Coverage of wastewater network services can be increased by following action)</t>
  </si>
  <si>
    <t>Lay down wastewater collection network</t>
  </si>
  <si>
    <t>Note: Expenses for improving collection efficiency of wastewater network is included in coverage of wastewater network services and adequacy of wastewater treatment capacity</t>
  </si>
  <si>
    <t>Cost will depend on modifications done in treatment unit to improve treatment plan efficiency like modification in grit chamber, screen, aeration system etc.</t>
  </si>
  <si>
    <t>Additional HHs to be covered with help of installation of primary collection equipment</t>
  </si>
  <si>
    <t>Distance between secondary bins is also a important parameter. As per CPHEEO norms, such bins should be at a distance not exceeding 250 meters from the place of work of the sweepers. The distance between two bins should, therefore, not exceed 500 meters. The distance between the bins can be determined on the basis of the load of  garbage/refuse that is likely to be received at the container from the area concerned</t>
  </si>
  <si>
    <t xml:space="preserve">The cost will depend upon quantum of waste coming to the transfer station. The capital cost of construction is substantial, but the fuel charges for transporting the waste is reduced.  As per CPHEEO, for large cities where disposal sites are more than 10 km away from the city boundary and smaller vehicles are used for transportation of waste, it is economical to have a transfer station </t>
  </si>
  <si>
    <t>ii) Procurement of satellite image</t>
  </si>
  <si>
    <t>ii) Providing and designing and calibration of hydraulic model of existing and proposed water supply scheme</t>
  </si>
</sst>
</file>

<file path=xl/styles.xml><?xml version="1.0" encoding="utf-8"?>
<styleSheet xmlns="http://schemas.openxmlformats.org/spreadsheetml/2006/main">
  <numFmts count="11">
    <numFmt numFmtId="43" formatCode="_(* #,##0.00_);_(* \(#,##0.00\);_(* &quot;-&quot;??_);_(@_)"/>
    <numFmt numFmtId="164" formatCode="0.0"/>
    <numFmt numFmtId="165" formatCode="0_);\(0\)"/>
    <numFmt numFmtId="166" formatCode="_-* #,##0.00_-;\-* #,##0.00_-;_-* &quot;-&quot;??_-;_-@_-"/>
    <numFmt numFmtId="167" formatCode="_(* #,##0_);_(* \(#,##0\);_(* &quot;-&quot;??_);_(@_)"/>
    <numFmt numFmtId="168" formatCode="_(* #,##0.0_);_(* \(#,##0.0\);_(* &quot;-&quot;??_);_(@_)"/>
    <numFmt numFmtId="169" formatCode="#,##0.0"/>
    <numFmt numFmtId="170" formatCode="#,##0.00;[Red]#,##0.00"/>
    <numFmt numFmtId="171" formatCode="\$#,##0.0"/>
    <numFmt numFmtId="172" formatCode="0.000"/>
    <numFmt numFmtId="173" formatCode="0.0000"/>
  </numFmts>
  <fonts count="87">
    <font>
      <sz val="11"/>
      <color theme="1"/>
      <name val="Calibri"/>
      <family val="2"/>
      <scheme val="minor"/>
    </font>
    <font>
      <sz val="10"/>
      <color indexed="8"/>
      <name val="Calibri"/>
      <family val="2"/>
    </font>
    <font>
      <sz val="11"/>
      <color indexed="8"/>
      <name val="Calibri"/>
      <family val="2"/>
    </font>
    <font>
      <sz val="10"/>
      <name val="Arial"/>
      <family val="2"/>
    </font>
    <font>
      <sz val="8"/>
      <color indexed="81"/>
      <name val="Tahoma"/>
      <family val="2"/>
    </font>
    <font>
      <b/>
      <sz val="8"/>
      <color indexed="81"/>
      <name val="Tahoma"/>
      <family val="2"/>
    </font>
    <font>
      <sz val="11"/>
      <name val="Calibri"/>
      <family val="2"/>
    </font>
    <font>
      <b/>
      <u/>
      <sz val="16"/>
      <name val="Calibri"/>
      <family val="2"/>
    </font>
    <font>
      <b/>
      <u/>
      <sz val="14"/>
      <name val="Calibri"/>
      <family val="2"/>
    </font>
    <font>
      <vertAlign val="superscript"/>
      <sz val="11"/>
      <name val="Calibri"/>
      <family val="2"/>
    </font>
    <font>
      <b/>
      <u/>
      <sz val="12"/>
      <name val="Calibri"/>
      <family val="2"/>
    </font>
    <font>
      <sz val="14"/>
      <name val="Palatino Linotype"/>
      <family val="1"/>
    </font>
    <font>
      <sz val="11"/>
      <color theme="1"/>
      <name val="Calibri"/>
      <family val="2"/>
      <scheme val="minor"/>
    </font>
    <font>
      <sz val="12"/>
      <color theme="1"/>
      <name val="Palatino Linotype"/>
      <family val="2"/>
    </font>
    <font>
      <sz val="10"/>
      <color theme="1"/>
      <name val="Palatino Linotype"/>
      <family val="2"/>
    </font>
    <font>
      <u/>
      <sz val="11"/>
      <color theme="10"/>
      <name val="Calibri"/>
      <family val="2"/>
    </font>
    <font>
      <sz val="10"/>
      <color theme="1"/>
      <name val="Calibri"/>
      <family val="2"/>
      <scheme val="minor"/>
    </font>
    <font>
      <b/>
      <sz val="11"/>
      <name val="Calibri"/>
      <family val="2"/>
      <scheme val="minor"/>
    </font>
    <font>
      <sz val="10"/>
      <name val="Calibri"/>
      <family val="2"/>
      <scheme val="minor"/>
    </font>
    <font>
      <b/>
      <sz val="11"/>
      <color theme="1"/>
      <name val="Calibri"/>
      <family val="2"/>
      <scheme val="minor"/>
    </font>
    <font>
      <sz val="11"/>
      <color rgb="FFFF0000"/>
      <name val="Calibri"/>
      <family val="2"/>
      <scheme val="minor"/>
    </font>
    <font>
      <b/>
      <sz val="10"/>
      <name val="Calibri"/>
      <family val="2"/>
      <scheme val="minor"/>
    </font>
    <font>
      <b/>
      <sz val="10"/>
      <color theme="1"/>
      <name val="Calibri"/>
      <family val="2"/>
      <scheme val="minor"/>
    </font>
    <font>
      <b/>
      <sz val="12"/>
      <name val="Calibri"/>
      <family val="2"/>
      <scheme val="minor"/>
    </font>
    <font>
      <b/>
      <sz val="12"/>
      <color theme="1"/>
      <name val="Calibri"/>
      <family val="2"/>
      <scheme val="minor"/>
    </font>
    <font>
      <sz val="10"/>
      <color theme="0"/>
      <name val="Calibri"/>
      <family val="2"/>
      <scheme val="minor"/>
    </font>
    <font>
      <sz val="9"/>
      <color theme="1"/>
      <name val="Calibri"/>
      <family val="2"/>
      <scheme val="minor"/>
    </font>
    <font>
      <i/>
      <sz val="10"/>
      <color theme="1"/>
      <name val="Calibri"/>
      <family val="2"/>
      <scheme val="minor"/>
    </font>
    <font>
      <b/>
      <sz val="11"/>
      <color theme="0"/>
      <name val="Calibri"/>
      <family val="2"/>
      <scheme val="minor"/>
    </font>
    <font>
      <sz val="9"/>
      <name val="Calibri"/>
      <family val="2"/>
      <scheme val="minor"/>
    </font>
    <font>
      <b/>
      <sz val="14"/>
      <name val="Calibri"/>
      <family val="2"/>
      <scheme val="minor"/>
    </font>
    <font>
      <sz val="10"/>
      <color theme="1"/>
      <name val="Palatino Linotype"/>
      <family val="1"/>
    </font>
    <font>
      <sz val="12"/>
      <color theme="1"/>
      <name val="Calibri"/>
      <family val="2"/>
      <scheme val="minor"/>
    </font>
    <font>
      <b/>
      <sz val="14"/>
      <color rgb="FFFF0000"/>
      <name val="Calibri"/>
      <family val="2"/>
      <scheme val="minor"/>
    </font>
    <font>
      <b/>
      <sz val="14"/>
      <color theme="0"/>
      <name val="Calibri"/>
      <family val="2"/>
      <scheme val="minor"/>
    </font>
    <font>
      <sz val="14"/>
      <color theme="1"/>
      <name val="Calibri"/>
      <family val="2"/>
      <scheme val="minor"/>
    </font>
    <font>
      <b/>
      <sz val="13"/>
      <color theme="1"/>
      <name val="Calibri"/>
      <family val="2"/>
      <scheme val="minor"/>
    </font>
    <font>
      <sz val="11"/>
      <color theme="0"/>
      <name val="Calibri"/>
      <family val="2"/>
      <scheme val="minor"/>
    </font>
    <font>
      <b/>
      <sz val="30"/>
      <color theme="0"/>
      <name val="Calibri"/>
      <family val="2"/>
      <scheme val="minor"/>
    </font>
    <font>
      <b/>
      <sz val="14"/>
      <color theme="4"/>
      <name val="Calibri"/>
      <family val="2"/>
      <scheme val="minor"/>
    </font>
    <font>
      <b/>
      <u/>
      <sz val="20"/>
      <color theme="0"/>
      <name val="Calibri"/>
      <family val="2"/>
      <scheme val="minor"/>
    </font>
    <font>
      <sz val="12"/>
      <name val="Calibri"/>
      <family val="2"/>
      <scheme val="minor"/>
    </font>
    <font>
      <sz val="11"/>
      <color theme="1"/>
      <name val="Palatino Linotype"/>
      <family val="1"/>
    </font>
    <font>
      <b/>
      <sz val="11"/>
      <color theme="1"/>
      <name val="Palatino Linotype"/>
      <family val="1"/>
    </font>
    <font>
      <b/>
      <i/>
      <sz val="18"/>
      <name val="Calibri"/>
      <family val="2"/>
      <scheme val="minor"/>
    </font>
    <font>
      <i/>
      <sz val="18"/>
      <name val="Calibri"/>
      <family val="2"/>
      <scheme val="minor"/>
    </font>
    <font>
      <sz val="10"/>
      <color theme="0"/>
      <name val="Palatino Linotype"/>
      <family val="1"/>
    </font>
    <font>
      <sz val="11"/>
      <name val="Calibri"/>
      <family val="2"/>
      <scheme val="minor"/>
    </font>
    <font>
      <i/>
      <sz val="11"/>
      <color theme="1"/>
      <name val="Calibri"/>
      <family val="2"/>
      <scheme val="minor"/>
    </font>
    <font>
      <b/>
      <i/>
      <sz val="12"/>
      <color theme="1"/>
      <name val="Calibri"/>
      <family val="2"/>
      <scheme val="minor"/>
    </font>
    <font>
      <sz val="14"/>
      <color theme="1"/>
      <name val="Palatino Linotype"/>
      <family val="1"/>
    </font>
    <font>
      <b/>
      <sz val="16"/>
      <name val="Calibri"/>
      <family val="2"/>
      <scheme val="minor"/>
    </font>
    <font>
      <u/>
      <sz val="14"/>
      <color theme="10"/>
      <name val="Calibri"/>
      <family val="2"/>
    </font>
    <font>
      <b/>
      <i/>
      <sz val="14"/>
      <color rgb="FFFF0000"/>
      <name val="Calibri"/>
      <family val="2"/>
      <scheme val="minor"/>
    </font>
    <font>
      <b/>
      <sz val="18"/>
      <color theme="4"/>
      <name val="Calibri"/>
      <family val="2"/>
      <scheme val="minor"/>
    </font>
    <font>
      <b/>
      <sz val="26"/>
      <color theme="0"/>
      <name val="Calibri"/>
      <family val="2"/>
      <scheme val="minor"/>
    </font>
    <font>
      <b/>
      <sz val="36"/>
      <color theme="0"/>
      <name val="Calibri"/>
      <family val="2"/>
      <scheme val="minor"/>
    </font>
    <font>
      <b/>
      <sz val="18"/>
      <color theme="0"/>
      <name val="Calibri"/>
      <family val="2"/>
      <scheme val="minor"/>
    </font>
    <font>
      <b/>
      <sz val="20"/>
      <color theme="0"/>
      <name val="Calibri"/>
      <family val="2"/>
      <scheme val="minor"/>
    </font>
    <font>
      <b/>
      <sz val="16"/>
      <color theme="0"/>
      <name val="Calibri"/>
      <family val="2"/>
      <scheme val="minor"/>
    </font>
    <font>
      <b/>
      <u/>
      <sz val="10"/>
      <color theme="1"/>
      <name val="Calibri"/>
      <family val="2"/>
      <scheme val="minor"/>
    </font>
    <font>
      <sz val="36"/>
      <color theme="0"/>
      <name val="Calibri"/>
      <family val="2"/>
      <scheme val="minor"/>
    </font>
    <font>
      <b/>
      <sz val="28"/>
      <color theme="0"/>
      <name val="Calibri"/>
      <family val="2"/>
      <scheme val="minor"/>
    </font>
    <font>
      <b/>
      <sz val="12"/>
      <color indexed="9"/>
      <name val="Arial"/>
      <family val="2"/>
    </font>
    <font>
      <sz val="10"/>
      <color indexed="8"/>
      <name val="Arial"/>
      <family val="2"/>
    </font>
    <font>
      <b/>
      <sz val="10"/>
      <color indexed="9"/>
      <name val="Arial"/>
      <family val="2"/>
    </font>
    <font>
      <b/>
      <i/>
      <sz val="10"/>
      <color indexed="9"/>
      <name val="Arial"/>
      <family val="2"/>
    </font>
    <font>
      <b/>
      <sz val="10"/>
      <color indexed="8"/>
      <name val="Arial"/>
      <family val="2"/>
    </font>
    <font>
      <sz val="10"/>
      <color indexed="9"/>
      <name val="Arial"/>
      <family val="2"/>
    </font>
    <font>
      <b/>
      <i/>
      <sz val="10"/>
      <color indexed="8"/>
      <name val="Arial"/>
      <family val="2"/>
    </font>
    <font>
      <i/>
      <sz val="10"/>
      <color indexed="8"/>
      <name val="Arial"/>
      <family val="2"/>
    </font>
    <font>
      <b/>
      <sz val="10"/>
      <name val="Arial"/>
      <family val="2"/>
    </font>
    <font>
      <i/>
      <sz val="10"/>
      <color indexed="9"/>
      <name val="Arial"/>
      <family val="2"/>
    </font>
    <font>
      <b/>
      <i/>
      <sz val="10"/>
      <name val="Arial"/>
      <family val="2"/>
    </font>
    <font>
      <i/>
      <sz val="10"/>
      <name val="Arial"/>
      <family val="2"/>
    </font>
    <font>
      <b/>
      <sz val="8"/>
      <color indexed="8"/>
      <name val="Tahoma"/>
      <family val="2"/>
    </font>
    <font>
      <sz val="8"/>
      <color indexed="8"/>
      <name val="Tahoma"/>
      <family val="2"/>
    </font>
    <font>
      <b/>
      <sz val="9"/>
      <color theme="0"/>
      <name val="Calibri"/>
      <family val="2"/>
      <scheme val="minor"/>
    </font>
    <font>
      <b/>
      <sz val="11.5"/>
      <name val="Calibri"/>
      <family val="2"/>
      <scheme val="minor"/>
    </font>
    <font>
      <b/>
      <sz val="10"/>
      <color theme="0"/>
      <name val="Calibri"/>
      <family val="2"/>
      <scheme val="minor"/>
    </font>
    <font>
      <sz val="11"/>
      <color theme="0"/>
      <name val="Palatino Linotype"/>
      <family val="1"/>
    </font>
    <font>
      <b/>
      <sz val="18"/>
      <color theme="0"/>
      <name val="Palatino Linotype"/>
      <family val="1"/>
    </font>
    <font>
      <b/>
      <sz val="20"/>
      <color theme="0"/>
      <name val="Palatino Linotype"/>
      <family val="1"/>
    </font>
    <font>
      <b/>
      <sz val="16"/>
      <color theme="0"/>
      <name val="Palatino Linotype"/>
      <family val="1"/>
    </font>
    <font>
      <b/>
      <sz val="13"/>
      <color theme="0"/>
      <name val="Palatino Linotype"/>
      <family val="1"/>
    </font>
    <font>
      <b/>
      <sz val="11"/>
      <color theme="0"/>
      <name val="Palatino Linotype"/>
      <family val="1"/>
    </font>
    <font>
      <b/>
      <sz val="12"/>
      <color theme="0"/>
      <name val="Palatino Linotype"/>
      <family val="1"/>
    </font>
  </fonts>
  <fills count="38">
    <fill>
      <patternFill patternType="none"/>
    </fill>
    <fill>
      <patternFill patternType="gray125"/>
    </fill>
    <fill>
      <patternFill patternType="solid">
        <fgColor theme="0" tint="-0.3499862666707357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theme="2" tint="-0.249977111117893"/>
        <bgColor indexed="64"/>
      </patternFill>
    </fill>
    <fill>
      <patternFill patternType="solid">
        <fgColor theme="4" tint="0.79998168889431442"/>
        <bgColor indexed="64"/>
      </patternFill>
    </fill>
    <fill>
      <patternFill patternType="solid">
        <fgColor theme="1"/>
        <bgColor indexed="64"/>
      </patternFill>
    </fill>
    <fill>
      <patternFill patternType="solid">
        <fgColor rgb="FFFF0000"/>
        <bgColor indexed="64"/>
      </patternFill>
    </fill>
    <fill>
      <patternFill patternType="solid">
        <fgColor theme="1" tint="0.499984740745262"/>
        <bgColor indexed="64"/>
      </patternFill>
    </fill>
    <fill>
      <patternFill patternType="solid">
        <fgColor theme="4"/>
        <bgColor indexed="64"/>
      </patternFill>
    </fill>
    <fill>
      <patternFill patternType="solid">
        <fgColor rgb="FFFF3B0D"/>
        <bgColor indexed="64"/>
      </patternFill>
    </fill>
    <fill>
      <patternFill patternType="solid">
        <fgColor rgb="FFFFC000"/>
        <bgColor indexed="64"/>
      </patternFill>
    </fill>
    <fill>
      <patternFill patternType="solid">
        <fgColor rgb="FF00C01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indexed="62"/>
        <bgColor indexed="64"/>
      </patternFill>
    </fill>
    <fill>
      <patternFill patternType="solid">
        <fgColor indexed="23"/>
        <bgColor indexed="64"/>
      </patternFill>
    </fill>
    <fill>
      <patternFill patternType="solid">
        <fgColor indexed="55"/>
        <bgColor indexed="64"/>
      </patternFill>
    </fill>
    <fill>
      <patternFill patternType="solid">
        <fgColor indexed="31"/>
        <bgColor indexed="64"/>
      </patternFill>
    </fill>
    <fill>
      <patternFill patternType="solid">
        <fgColor indexed="13"/>
        <bgColor indexed="64"/>
      </patternFill>
    </fill>
    <fill>
      <patternFill patternType="solid">
        <fgColor indexed="27"/>
        <bgColor indexed="64"/>
      </patternFill>
    </fill>
    <fill>
      <patternFill patternType="solid">
        <fgColor indexed="43"/>
        <bgColor indexed="64"/>
      </patternFill>
    </fill>
    <fill>
      <patternFill patternType="solid">
        <fgColor indexed="9"/>
        <bgColor indexed="64"/>
      </patternFill>
    </fill>
    <fill>
      <patternFill patternType="solid">
        <fgColor indexed="56"/>
        <bgColor indexed="64"/>
      </patternFill>
    </fill>
    <fill>
      <patternFill patternType="solid">
        <fgColor indexed="26"/>
        <bgColor indexed="64"/>
      </patternFill>
    </fill>
    <fill>
      <patternFill patternType="solid">
        <fgColor indexed="60"/>
        <bgColor indexed="64"/>
      </patternFill>
    </fill>
    <fill>
      <patternFill patternType="solid">
        <fgColor indexed="22"/>
        <bgColor indexed="64"/>
      </patternFill>
    </fill>
    <fill>
      <patternFill patternType="solid">
        <fgColor indexed="63"/>
        <bgColor indexed="64"/>
      </patternFill>
    </fill>
    <fill>
      <patternFill patternType="solid">
        <fgColor indexed="34"/>
        <bgColor indexed="64"/>
      </patternFill>
    </fill>
    <fill>
      <patternFill patternType="solid">
        <fgColor theme="9" tint="-0.249977111117893"/>
        <bgColor indexed="64"/>
      </patternFill>
    </fill>
    <fill>
      <patternFill patternType="solid">
        <fgColor rgb="FFFFFF66"/>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4" tint="-0.249977111117893"/>
        <bgColor indexed="64"/>
      </patternFill>
    </fill>
    <fill>
      <patternFill patternType="solid">
        <fgColor theme="0" tint="-0.499984740745262"/>
        <bgColor indexed="64"/>
      </patternFill>
    </fill>
  </fills>
  <borders count="140">
    <border>
      <left/>
      <right/>
      <top/>
      <bottom/>
      <diagonal/>
    </border>
    <border>
      <left/>
      <right/>
      <top style="thin">
        <color indexed="64"/>
      </top>
      <bottom style="hair">
        <color indexed="64"/>
      </bottom>
      <diagonal/>
    </border>
    <border>
      <left/>
      <right/>
      <top style="thin">
        <color indexed="64"/>
      </top>
      <bottom style="thin">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bottom style="hair">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top style="hair">
        <color indexed="64"/>
      </top>
      <bottom/>
      <diagonal/>
    </border>
    <border>
      <left style="thin">
        <color indexed="64"/>
      </left>
      <right/>
      <top style="hair">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diagonal/>
    </border>
    <border>
      <left style="thin">
        <color indexed="64"/>
      </left>
      <right style="thin">
        <color indexed="64"/>
      </right>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style="thin">
        <color indexed="64"/>
      </left>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8"/>
      </left>
      <right style="thin">
        <color indexed="8"/>
      </right>
      <top style="thin">
        <color indexed="8"/>
      </top>
      <bottom style="thin">
        <color indexed="8"/>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medium">
        <color indexed="64"/>
      </top>
      <bottom style="medium">
        <color indexed="64"/>
      </bottom>
      <diagonal/>
    </border>
    <border>
      <left style="thin">
        <color indexed="8"/>
      </left>
      <right/>
      <top/>
      <bottom/>
      <diagonal/>
    </border>
    <border>
      <left style="thin">
        <color indexed="8"/>
      </left>
      <right/>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diagonal/>
    </border>
    <border>
      <left/>
      <right/>
      <top/>
      <bottom style="thin">
        <color indexed="8"/>
      </bottom>
      <diagonal/>
    </border>
    <border>
      <left style="thin">
        <color indexed="8"/>
      </left>
      <right style="thin">
        <color indexed="8"/>
      </right>
      <top/>
      <bottom/>
      <diagonal/>
    </border>
    <border>
      <left style="thin">
        <color indexed="8"/>
      </left>
      <right/>
      <top style="thin">
        <color indexed="8"/>
      </top>
      <bottom/>
      <diagonal/>
    </border>
    <border>
      <left/>
      <right style="thin">
        <color indexed="8"/>
      </right>
      <top style="thin">
        <color indexed="8"/>
      </top>
      <bottom/>
      <diagonal/>
    </border>
    <border>
      <left/>
      <right style="thin">
        <color indexed="8"/>
      </right>
      <top/>
      <bottom style="thin">
        <color indexed="8"/>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thin">
        <color theme="0"/>
      </bottom>
      <diagonal/>
    </border>
    <border>
      <left style="thin">
        <color indexed="64"/>
      </left>
      <right style="medium">
        <color indexed="64"/>
      </right>
      <top style="thin">
        <color theme="0"/>
      </top>
      <bottom style="medium">
        <color indexed="64"/>
      </bottom>
      <diagonal/>
    </border>
    <border>
      <left style="medium">
        <color theme="1"/>
      </left>
      <right style="medium">
        <color theme="1"/>
      </right>
      <top style="thin">
        <color theme="0"/>
      </top>
      <bottom style="medium">
        <color indexed="64"/>
      </bottom>
      <diagonal/>
    </border>
    <border>
      <left style="medium">
        <color indexed="64"/>
      </left>
      <right style="medium">
        <color indexed="64"/>
      </right>
      <top style="thin">
        <color theme="0"/>
      </top>
      <bottom style="medium">
        <color indexed="64"/>
      </bottom>
      <diagonal/>
    </border>
    <border>
      <left style="medium">
        <color indexed="64"/>
      </left>
      <right style="medium">
        <color indexed="64"/>
      </right>
      <top style="thin">
        <color theme="0"/>
      </top>
      <bottom style="thin">
        <color theme="0"/>
      </bottom>
      <diagonal/>
    </border>
    <border>
      <left style="medium">
        <color indexed="64"/>
      </left>
      <right style="medium">
        <color indexed="64"/>
      </right>
      <top style="medium">
        <color indexed="64"/>
      </top>
      <bottom style="thin">
        <color theme="0"/>
      </bottom>
      <diagonal/>
    </border>
    <border>
      <left/>
      <right/>
      <top style="thin">
        <color theme="0"/>
      </top>
      <bottom style="medium">
        <color indexed="64"/>
      </bottom>
      <diagonal/>
    </border>
    <border>
      <left style="thin">
        <color indexed="64"/>
      </left>
      <right style="medium">
        <color indexed="64"/>
      </right>
      <top style="thin">
        <color theme="0"/>
      </top>
      <bottom style="thin">
        <color theme="0"/>
      </bottom>
      <diagonal/>
    </border>
    <border>
      <left style="thin">
        <color indexed="64"/>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diagonal/>
    </border>
    <border>
      <left style="medium">
        <color indexed="64"/>
      </left>
      <right/>
      <top style="hair">
        <color indexed="64"/>
      </top>
      <bottom style="medium">
        <color indexed="64"/>
      </bottom>
      <diagonal/>
    </border>
    <border>
      <left style="medium">
        <color indexed="64"/>
      </left>
      <right/>
      <top style="thin">
        <color indexed="64"/>
      </top>
      <bottom/>
      <diagonal/>
    </border>
    <border>
      <left/>
      <right style="thin">
        <color indexed="64"/>
      </right>
      <top style="hair">
        <color indexed="64"/>
      </top>
      <bottom style="medium">
        <color indexed="64"/>
      </bottom>
      <diagonal/>
    </border>
    <border>
      <left style="thin">
        <color indexed="64"/>
      </left>
      <right style="thin">
        <color indexed="64"/>
      </right>
      <top style="thin">
        <color theme="0"/>
      </top>
      <bottom style="medium">
        <color indexed="64"/>
      </bottom>
      <diagonal/>
    </border>
    <border>
      <left/>
      <right style="thin">
        <color indexed="64"/>
      </right>
      <top style="hair">
        <color indexed="64"/>
      </top>
      <bottom style="hair">
        <color indexed="64"/>
      </bottom>
      <diagonal/>
    </border>
    <border>
      <left style="thin">
        <color indexed="64"/>
      </left>
      <right style="thin">
        <color indexed="64"/>
      </right>
      <top style="medium">
        <color indexed="64"/>
      </top>
      <bottom/>
      <diagonal/>
    </border>
    <border>
      <left style="thin">
        <color indexed="64"/>
      </left>
      <right/>
      <top style="thin">
        <color indexed="64"/>
      </top>
      <bottom style="hair">
        <color indexed="64"/>
      </bottom>
      <diagonal/>
    </border>
    <border>
      <left style="medium">
        <color indexed="64"/>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
      <left style="medium">
        <color indexed="64"/>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theme="0"/>
      </top>
      <bottom/>
      <diagonal/>
    </border>
    <border>
      <left style="thin">
        <color indexed="64"/>
      </left>
      <right style="medium">
        <color indexed="64"/>
      </right>
      <top style="thin">
        <color indexed="64"/>
      </top>
      <bottom style="thin">
        <color theme="0"/>
      </bottom>
      <diagonal/>
    </border>
    <border>
      <left style="thin">
        <color theme="1"/>
      </left>
      <right/>
      <top style="medium">
        <color indexed="64"/>
      </top>
      <bottom style="medium">
        <color indexed="64"/>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right/>
      <top/>
      <bottom style="thin">
        <color theme="0"/>
      </bottom>
      <diagonal/>
    </border>
    <border>
      <left style="thin">
        <color theme="0"/>
      </left>
      <right/>
      <top/>
      <bottom style="thin">
        <color theme="0"/>
      </bottom>
      <diagonal/>
    </border>
    <border>
      <left/>
      <right style="thin">
        <color theme="0"/>
      </right>
      <top/>
      <bottom style="thin">
        <color theme="0"/>
      </bottom>
      <diagonal/>
    </border>
  </borders>
  <cellStyleXfs count="1839">
    <xf numFmtId="0" fontId="0" fillId="0" borderId="0"/>
    <xf numFmtId="43" fontId="1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166" fontId="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8"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2" fillId="0" borderId="0" applyFont="0" applyFill="0" applyBorder="0" applyAlignment="0" applyProtection="0"/>
    <xf numFmtId="166" fontId="12" fillId="0" borderId="0" applyFont="0" applyFill="0" applyBorder="0" applyAlignment="0" applyProtection="0"/>
    <xf numFmtId="166" fontId="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2" fillId="0" borderId="0" applyFont="0" applyFill="0" applyBorder="0" applyAlignment="0" applyProtection="0"/>
    <xf numFmtId="166" fontId="1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2" fillId="0" borderId="0" applyFont="0" applyFill="0" applyBorder="0" applyAlignment="0" applyProtection="0"/>
    <xf numFmtId="166" fontId="1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2" fillId="0" borderId="0" applyFont="0" applyFill="0" applyBorder="0" applyAlignment="0" applyProtection="0"/>
    <xf numFmtId="166" fontId="1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2" fillId="0" borderId="0" applyFont="0" applyFill="0" applyBorder="0" applyAlignment="0" applyProtection="0"/>
    <xf numFmtId="166" fontId="12" fillId="0" borderId="0" applyFont="0" applyFill="0" applyBorder="0" applyAlignment="0" applyProtection="0"/>
    <xf numFmtId="166" fontId="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2" fillId="0" borderId="0" applyFont="0" applyFill="0" applyBorder="0" applyAlignment="0" applyProtection="0"/>
    <xf numFmtId="43" fontId="12" fillId="0" borderId="0" applyFont="0" applyFill="0" applyBorder="0" applyAlignment="0" applyProtection="0"/>
    <xf numFmtId="166" fontId="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3"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2" fillId="0" borderId="0" applyFont="0" applyFill="0" applyBorder="0" applyAlignment="0" applyProtection="0"/>
    <xf numFmtId="166" fontId="2" fillId="0" borderId="0" applyFont="0" applyFill="0" applyBorder="0" applyAlignment="0" applyProtection="0"/>
    <xf numFmtId="43" fontId="1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6" fontId="2" fillId="0" borderId="0" applyFont="0" applyFill="0" applyBorder="0" applyAlignment="0" applyProtection="0"/>
    <xf numFmtId="43" fontId="1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6" fontId="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6" fontId="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6" fontId="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6" fontId="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6" fontId="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5" fillId="0" borderId="0" applyNumberFormat="0" applyFill="0" applyBorder="0" applyAlignment="0" applyProtection="0">
      <alignment vertical="top"/>
      <protection locked="0"/>
    </xf>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3" fillId="0" borderId="0"/>
    <xf numFmtId="0" fontId="14" fillId="0" borderId="0"/>
    <xf numFmtId="0" fontId="3" fillId="0" borderId="0"/>
    <xf numFmtId="0" fontId="14" fillId="0" borderId="0"/>
    <xf numFmtId="0" fontId="14" fillId="0" borderId="0"/>
    <xf numFmtId="0" fontId="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3" fillId="0" borderId="0"/>
    <xf numFmtId="0" fontId="13" fillId="0" borderId="0"/>
    <xf numFmtId="0" fontId="13" fillId="0" borderId="0"/>
    <xf numFmtId="0" fontId="13"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3" fillId="0" borderId="0"/>
    <xf numFmtId="0" fontId="13" fillId="0" borderId="0"/>
    <xf numFmtId="0" fontId="13" fillId="0" borderId="0"/>
    <xf numFmtId="0" fontId="13" fillId="0" borderId="0"/>
    <xf numFmtId="0" fontId="13" fillId="0" borderId="0"/>
    <xf numFmtId="0" fontId="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3"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3" fillId="0" borderId="0"/>
    <xf numFmtId="0" fontId="3" fillId="0" borderId="0"/>
    <xf numFmtId="0" fontId="13" fillId="0" borderId="0"/>
    <xf numFmtId="0" fontId="13" fillId="0" borderId="0"/>
    <xf numFmtId="0" fontId="13" fillId="0" borderId="0"/>
    <xf numFmtId="0" fontId="13" fillId="0" borderId="0"/>
    <xf numFmtId="0" fontId="3" fillId="0" borderId="0"/>
    <xf numFmtId="0" fontId="3" fillId="0" borderId="0"/>
    <xf numFmtId="0" fontId="13" fillId="0" borderId="0"/>
    <xf numFmtId="0" fontId="3" fillId="0" borderId="0"/>
    <xf numFmtId="0" fontId="13" fillId="0" borderId="0"/>
    <xf numFmtId="0" fontId="13" fillId="0" borderId="0"/>
    <xf numFmtId="0" fontId="13"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3" fillId="0" borderId="0"/>
    <xf numFmtId="0" fontId="13" fillId="0" borderId="0"/>
    <xf numFmtId="0" fontId="13"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3" fillId="0" borderId="0"/>
    <xf numFmtId="0" fontId="13" fillId="0" borderId="0"/>
    <xf numFmtId="0" fontId="13"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3" fillId="0" borderId="0"/>
    <xf numFmtId="0" fontId="3" fillId="0" borderId="0"/>
    <xf numFmtId="0" fontId="3" fillId="0" borderId="0"/>
    <xf numFmtId="0" fontId="3" fillId="0" borderId="0"/>
    <xf numFmtId="0" fontId="14" fillId="0" borderId="0"/>
    <xf numFmtId="0" fontId="14" fillId="0" borderId="0"/>
    <xf numFmtId="0" fontId="14"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9" fontId="1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2" fillId="0" borderId="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cellStyleXfs>
  <cellXfs count="891">
    <xf numFmtId="0" fontId="0" fillId="0" borderId="0" xfId="0"/>
    <xf numFmtId="0" fontId="0" fillId="0" borderId="0" xfId="0"/>
    <xf numFmtId="0" fontId="31" fillId="0" borderId="0" xfId="0" applyFont="1"/>
    <xf numFmtId="0" fontId="0" fillId="0" borderId="0" xfId="0" applyAlignment="1">
      <alignment vertical="top"/>
    </xf>
    <xf numFmtId="0" fontId="0" fillId="0" borderId="0" xfId="0" applyAlignment="1"/>
    <xf numFmtId="0" fontId="16" fillId="0" borderId="0" xfId="0" applyFont="1" applyAlignment="1">
      <alignment vertical="top"/>
    </xf>
    <xf numFmtId="0" fontId="34" fillId="0" borderId="0" xfId="0" applyFont="1"/>
    <xf numFmtId="0" fontId="35" fillId="0" borderId="0" xfId="0" applyFont="1" applyAlignment="1">
      <alignment vertical="center"/>
    </xf>
    <xf numFmtId="0" fontId="42" fillId="0" borderId="0" xfId="0" applyFont="1"/>
    <xf numFmtId="0" fontId="43" fillId="0" borderId="0" xfId="0" applyFont="1"/>
    <xf numFmtId="3" fontId="28" fillId="8" borderId="62" xfId="0" applyNumberFormat="1" applyFont="1" applyFill="1" applyBorder="1" applyAlignment="1" applyProtection="1">
      <alignment horizontal="center" vertical="center"/>
      <protection locked="0"/>
    </xf>
    <xf numFmtId="0" fontId="35" fillId="0" borderId="0" xfId="0" applyFont="1" applyAlignment="1">
      <alignment horizontal="center" vertical="center"/>
    </xf>
    <xf numFmtId="0" fontId="35" fillId="0" borderId="0" xfId="0" applyFont="1"/>
    <xf numFmtId="3" fontId="28" fillId="8" borderId="43" xfId="0" applyNumberFormat="1" applyFont="1" applyFill="1" applyBorder="1" applyAlignment="1" applyProtection="1">
      <alignment horizontal="center" vertical="center"/>
      <protection locked="0"/>
    </xf>
    <xf numFmtId="3" fontId="28" fillId="8" borderId="63" xfId="0" applyNumberFormat="1" applyFont="1" applyFill="1" applyBorder="1" applyAlignment="1" applyProtection="1">
      <alignment horizontal="center" vertical="center"/>
      <protection locked="0"/>
    </xf>
    <xf numFmtId="169" fontId="28" fillId="8" borderId="54" xfId="0" applyNumberFormat="1" applyFont="1" applyFill="1" applyBorder="1" applyAlignment="1" applyProtection="1">
      <alignment horizontal="center" vertical="center"/>
      <protection locked="0"/>
    </xf>
    <xf numFmtId="0" fontId="28" fillId="8" borderId="63" xfId="0" applyFont="1" applyFill="1" applyBorder="1" applyAlignment="1" applyProtection="1">
      <alignment horizontal="center" vertical="center"/>
      <protection locked="0"/>
    </xf>
    <xf numFmtId="9" fontId="28" fillId="8" borderId="80" xfId="847" applyFont="1" applyFill="1" applyBorder="1" applyAlignment="1" applyProtection="1">
      <alignment horizontal="center" vertical="center"/>
      <protection locked="0"/>
    </xf>
    <xf numFmtId="3" fontId="28" fillId="8" borderId="81" xfId="0" applyNumberFormat="1" applyFont="1" applyFill="1" applyBorder="1" applyAlignment="1" applyProtection="1">
      <alignment horizontal="center" vertical="center"/>
      <protection locked="0"/>
    </xf>
    <xf numFmtId="9" fontId="28" fillId="8" borderId="63" xfId="847" applyFont="1" applyFill="1" applyBorder="1" applyAlignment="1" applyProtection="1">
      <alignment horizontal="center" vertical="center"/>
      <protection locked="0"/>
    </xf>
    <xf numFmtId="0" fontId="64" fillId="0" borderId="0" xfId="918" applyFont="1"/>
    <xf numFmtId="0" fontId="65" fillId="19" borderId="83" xfId="918" applyFont="1" applyFill="1" applyBorder="1" applyAlignment="1">
      <alignment horizontal="center"/>
    </xf>
    <xf numFmtId="0" fontId="65" fillId="19" borderId="90" xfId="918" applyFont="1" applyFill="1" applyBorder="1" applyAlignment="1" applyProtection="1">
      <alignment horizontal="left"/>
    </xf>
    <xf numFmtId="0" fontId="66" fillId="19" borderId="90" xfId="918" applyFont="1" applyFill="1" applyBorder="1" applyAlignment="1" applyProtection="1">
      <alignment horizontal="center"/>
    </xf>
    <xf numFmtId="2" fontId="3" fillId="20" borderId="83" xfId="918" applyNumberFormat="1" applyFont="1" applyFill="1" applyBorder="1"/>
    <xf numFmtId="0" fontId="67" fillId="21" borderId="91" xfId="918" applyFont="1" applyFill="1" applyBorder="1"/>
    <xf numFmtId="0" fontId="7" fillId="5" borderId="5" xfId="6" applyNumberFormat="1" applyFont="1" applyFill="1" applyBorder="1" applyAlignment="1" applyProtection="1">
      <alignment horizontal="left" vertical="center"/>
      <protection locked="0"/>
    </xf>
    <xf numFmtId="0" fontId="67" fillId="22" borderId="92" xfId="918" applyFont="1" applyFill="1" applyBorder="1"/>
    <xf numFmtId="0" fontId="64" fillId="21" borderId="83" xfId="918" applyFont="1" applyFill="1" applyBorder="1"/>
    <xf numFmtId="0" fontId="1" fillId="6" borderId="3" xfId="6" applyNumberFormat="1" applyFont="1" applyFill="1" applyBorder="1" applyAlignment="1" applyProtection="1">
      <alignment horizontal="left" vertical="center"/>
      <protection locked="0"/>
    </xf>
    <xf numFmtId="0" fontId="1" fillId="7" borderId="7" xfId="6" applyNumberFormat="1" applyFont="1" applyFill="1" applyBorder="1" applyAlignment="1" applyProtection="1">
      <alignment horizontal="center"/>
      <protection locked="0"/>
    </xf>
    <xf numFmtId="1" fontId="3" fillId="0" borderId="83" xfId="918" applyNumberFormat="1" applyFont="1" applyBorder="1"/>
    <xf numFmtId="170" fontId="64" fillId="23" borderId="83" xfId="918" applyNumberFormat="1" applyFont="1" applyFill="1" applyBorder="1"/>
    <xf numFmtId="2" fontId="3" fillId="0" borderId="83" xfId="918" applyNumberFormat="1" applyFont="1" applyBorder="1"/>
    <xf numFmtId="170" fontId="64" fillId="24" borderId="83" xfId="918" applyNumberFormat="1" applyFont="1" applyFill="1" applyBorder="1"/>
    <xf numFmtId="0" fontId="1" fillId="6" borderId="3" xfId="6" applyNumberFormat="1" applyFont="1" applyFill="1" applyBorder="1" applyAlignment="1" applyProtection="1">
      <alignment horizontal="left" vertical="center" wrapText="1"/>
      <protection locked="0"/>
    </xf>
    <xf numFmtId="0" fontId="64" fillId="25" borderId="0" xfId="918" applyFont="1" applyFill="1" applyBorder="1" applyAlignment="1">
      <alignment horizontal="center"/>
    </xf>
    <xf numFmtId="0" fontId="67" fillId="21" borderId="83" xfId="918" applyFont="1" applyFill="1" applyBorder="1"/>
    <xf numFmtId="0" fontId="67" fillId="22" borderId="93" xfId="918" applyFont="1" applyFill="1" applyBorder="1"/>
    <xf numFmtId="0" fontId="3" fillId="0" borderId="83" xfId="918" applyFont="1" applyBorder="1"/>
    <xf numFmtId="0" fontId="64" fillId="0" borderId="83" xfId="918" applyNumberFormat="1" applyFont="1" applyFill="1" applyBorder="1"/>
    <xf numFmtId="0" fontId="64" fillId="25" borderId="88" xfId="918" applyFont="1" applyFill="1" applyBorder="1"/>
    <xf numFmtId="0" fontId="64" fillId="25" borderId="0" xfId="918" applyFont="1" applyFill="1" applyBorder="1" applyAlignment="1">
      <alignment vertical="top"/>
    </xf>
    <xf numFmtId="0" fontId="64" fillId="25" borderId="94" xfId="918" applyFont="1" applyFill="1" applyBorder="1"/>
    <xf numFmtId="0" fontId="64" fillId="25" borderId="0" xfId="918" applyFont="1" applyFill="1" applyBorder="1"/>
    <xf numFmtId="0" fontId="64" fillId="25" borderId="89" xfId="918" applyFont="1" applyFill="1" applyBorder="1"/>
    <xf numFmtId="0" fontId="64" fillId="25" borderId="95" xfId="918" applyFont="1" applyFill="1" applyBorder="1"/>
    <xf numFmtId="0" fontId="64" fillId="0" borderId="93" xfId="918" applyNumberFormat="1" applyFont="1" applyBorder="1"/>
    <xf numFmtId="0" fontId="64" fillId="0" borderId="83" xfId="918" applyNumberFormat="1" applyFont="1" applyBorder="1"/>
    <xf numFmtId="0" fontId="2" fillId="0" borderId="0" xfId="918"/>
    <xf numFmtId="0" fontId="63" fillId="18" borderId="0" xfId="918" applyFont="1" applyFill="1" applyBorder="1" applyAlignment="1">
      <alignment horizontal="center"/>
    </xf>
    <xf numFmtId="0" fontId="65" fillId="19" borderId="90" xfId="918" applyFont="1" applyFill="1" applyBorder="1" applyAlignment="1" applyProtection="1">
      <alignment horizontal="center"/>
    </xf>
    <xf numFmtId="17" fontId="65" fillId="19" borderId="90" xfId="918" applyNumberFormat="1" applyFont="1" applyFill="1" applyBorder="1" applyAlignment="1" applyProtection="1">
      <alignment horizontal="center"/>
    </xf>
    <xf numFmtId="164" fontId="68" fillId="26" borderId="83" xfId="918" applyNumberFormat="1" applyFont="1" applyFill="1" applyBorder="1" applyAlignment="1" applyProtection="1">
      <alignment horizontal="right"/>
    </xf>
    <xf numFmtId="0" fontId="67" fillId="22" borderId="83" xfId="918" applyFont="1" applyFill="1" applyBorder="1" applyProtection="1"/>
    <xf numFmtId="0" fontId="1" fillId="6" borderId="3" xfId="6" applyNumberFormat="1" applyFont="1" applyFill="1" applyBorder="1" applyAlignment="1" applyProtection="1"/>
    <xf numFmtId="0" fontId="1" fillId="6" borderId="3" xfId="6" applyNumberFormat="1" applyFont="1" applyFill="1" applyBorder="1" applyAlignment="1" applyProtection="1">
      <alignment horizontal="right"/>
    </xf>
    <xf numFmtId="0" fontId="64" fillId="0" borderId="83" xfId="918" applyFont="1" applyBorder="1" applyProtection="1"/>
    <xf numFmtId="0" fontId="64" fillId="0" borderId="83" xfId="918" applyFont="1" applyBorder="1" applyAlignment="1" applyProtection="1">
      <alignment horizontal="right"/>
    </xf>
    <xf numFmtId="0" fontId="64" fillId="22" borderId="83" xfId="918" applyFont="1" applyFill="1" applyBorder="1" applyProtection="1"/>
    <xf numFmtId="0" fontId="9" fillId="5" borderId="3" xfId="6" applyNumberFormat="1" applyFont="1" applyFill="1" applyBorder="1" applyAlignment="1" applyProtection="1">
      <alignment horizontal="left" vertical="center"/>
    </xf>
    <xf numFmtId="0" fontId="69" fillId="22" borderId="83" xfId="918" applyFont="1" applyFill="1" applyBorder="1" applyAlignment="1" applyProtection="1">
      <alignment horizontal="center"/>
    </xf>
    <xf numFmtId="17" fontId="69" fillId="22" borderId="83" xfId="918" applyNumberFormat="1" applyFont="1" applyFill="1" applyBorder="1" applyAlignment="1" applyProtection="1">
      <alignment horizontal="center"/>
    </xf>
    <xf numFmtId="0" fontId="64" fillId="0" borderId="83" xfId="918" applyFont="1" applyFill="1" applyBorder="1" applyProtection="1"/>
    <xf numFmtId="0" fontId="9" fillId="0" borderId="3" xfId="6" applyNumberFormat="1" applyFont="1" applyFill="1" applyBorder="1" applyAlignment="1" applyProtection="1"/>
    <xf numFmtId="0" fontId="1" fillId="0" borderId="3" xfId="6" applyNumberFormat="1" applyFont="1" applyFill="1" applyBorder="1" applyAlignment="1" applyProtection="1">
      <alignment horizontal="center"/>
    </xf>
    <xf numFmtId="0" fontId="1" fillId="0" borderId="3" xfId="6" applyNumberFormat="1" applyFont="1" applyFill="1" applyBorder="1" applyAlignment="1" applyProtection="1">
      <alignment horizontal="right"/>
    </xf>
    <xf numFmtId="0" fontId="68" fillId="26" borderId="83" xfId="918" applyFont="1" applyFill="1" applyBorder="1" applyProtection="1"/>
    <xf numFmtId="2" fontId="68" fillId="26" borderId="83" xfId="918" applyNumberFormat="1" applyFont="1" applyFill="1" applyBorder="1" applyAlignment="1">
      <alignment horizontal="right"/>
    </xf>
    <xf numFmtId="0" fontId="64" fillId="0" borderId="0" xfId="918" applyFont="1" applyFill="1" applyBorder="1" applyAlignment="1" applyProtection="1">
      <alignment horizontal="center"/>
    </xf>
    <xf numFmtId="0" fontId="64" fillId="0" borderId="0" xfId="918" applyFont="1" applyBorder="1" applyAlignment="1" applyProtection="1">
      <alignment horizontal="center"/>
    </xf>
    <xf numFmtId="164" fontId="68" fillId="26" borderId="83" xfId="918" applyNumberFormat="1" applyFont="1" applyFill="1" applyBorder="1" applyAlignment="1">
      <alignment horizontal="right"/>
    </xf>
    <xf numFmtId="0" fontId="68" fillId="26" borderId="83" xfId="918" applyFont="1" applyFill="1" applyBorder="1"/>
    <xf numFmtId="0" fontId="1" fillId="6" borderId="3" xfId="6" applyNumberFormat="1" applyFont="1" applyFill="1" applyBorder="1" applyAlignment="1" applyProtection="1">
      <alignment horizontal="left"/>
    </xf>
    <xf numFmtId="0" fontId="1" fillId="6" borderId="3" xfId="6" applyNumberFormat="1" applyFont="1" applyFill="1" applyBorder="1" applyAlignment="1" applyProtection="1">
      <alignment wrapText="1"/>
    </xf>
    <xf numFmtId="1" fontId="1" fillId="6" borderId="3" xfId="6" applyNumberFormat="1" applyFont="1" applyFill="1" applyBorder="1" applyAlignment="1" applyProtection="1">
      <alignment horizontal="right"/>
    </xf>
    <xf numFmtId="0" fontId="68" fillId="26" borderId="83" xfId="918" applyFont="1" applyFill="1" applyBorder="1" applyAlignment="1" applyProtection="1">
      <alignment horizontal="center"/>
    </xf>
    <xf numFmtId="0" fontId="1" fillId="11" borderId="3" xfId="6" applyNumberFormat="1" applyFont="1" applyFill="1" applyBorder="1" applyAlignment="1" applyProtection="1"/>
    <xf numFmtId="2" fontId="1" fillId="11" borderId="3" xfId="6" applyNumberFormat="1" applyFont="1" applyFill="1" applyBorder="1" applyAlignment="1" applyProtection="1">
      <alignment horizontal="right"/>
    </xf>
    <xf numFmtId="0" fontId="70" fillId="22" borderId="83" xfId="918" applyFont="1" applyFill="1" applyBorder="1" applyProtection="1"/>
    <xf numFmtId="0" fontId="65" fillId="18" borderId="0" xfId="918" applyFont="1" applyFill="1" applyBorder="1" applyAlignment="1" applyProtection="1">
      <alignment horizontal="center"/>
    </xf>
    <xf numFmtId="0" fontId="7" fillId="5" borderId="3" xfId="6" applyNumberFormat="1" applyFont="1" applyFill="1" applyBorder="1" applyAlignment="1" applyProtection="1">
      <alignment horizontal="left" vertical="center"/>
    </xf>
    <xf numFmtId="0" fontId="3" fillId="27" borderId="83" xfId="918" applyFont="1" applyFill="1" applyBorder="1" applyAlignment="1" applyProtection="1"/>
    <xf numFmtId="0" fontId="3" fillId="24" borderId="83" xfId="918" applyFont="1" applyFill="1" applyBorder="1" applyAlignment="1" applyProtection="1"/>
    <xf numFmtId="0" fontId="3" fillId="24" borderId="83" xfId="918" applyFont="1" applyFill="1" applyBorder="1" applyAlignment="1" applyProtection="1">
      <alignment horizontal="right"/>
    </xf>
    <xf numFmtId="0" fontId="71" fillId="24" borderId="83" xfId="918" applyFont="1" applyFill="1" applyBorder="1" applyAlignment="1" applyProtection="1"/>
    <xf numFmtId="0" fontId="66" fillId="28" borderId="91" xfId="918" applyFont="1" applyFill="1" applyBorder="1" applyAlignment="1">
      <alignment horizontal="center"/>
    </xf>
    <xf numFmtId="0" fontId="66" fillId="28" borderId="83" xfId="918" applyFont="1" applyFill="1" applyBorder="1" applyAlignment="1">
      <alignment horizontal="left"/>
    </xf>
    <xf numFmtId="0" fontId="66" fillId="28" borderId="93" xfId="918" applyFont="1" applyFill="1" applyBorder="1" applyAlignment="1" applyProtection="1">
      <alignment horizontal="center"/>
    </xf>
    <xf numFmtId="0" fontId="3" fillId="29" borderId="83" xfId="918" applyFont="1" applyFill="1" applyBorder="1" applyAlignment="1" applyProtection="1">
      <alignment horizontal="center"/>
    </xf>
    <xf numFmtId="0" fontId="3" fillId="29" borderId="83" xfId="918" applyFont="1" applyFill="1" applyBorder="1" applyProtection="1"/>
    <xf numFmtId="1" fontId="3" fillId="29" borderId="83" xfId="918" applyNumberFormat="1" applyFont="1" applyFill="1" applyBorder="1" applyAlignment="1" applyProtection="1">
      <alignment horizontal="right"/>
      <protection locked="0"/>
    </xf>
    <xf numFmtId="2" fontId="3" fillId="29" borderId="83" xfId="918" applyNumberFormat="1" applyFont="1" applyFill="1" applyBorder="1" applyAlignment="1" applyProtection="1">
      <alignment horizontal="right"/>
      <protection locked="0"/>
    </xf>
    <xf numFmtId="0" fontId="66" fillId="28" borderId="91" xfId="918" applyFont="1" applyFill="1" applyBorder="1" applyAlignment="1">
      <alignment horizontal="left"/>
    </xf>
    <xf numFmtId="0" fontId="68" fillId="28" borderId="93" xfId="918" applyFont="1" applyFill="1" applyBorder="1" applyProtection="1"/>
    <xf numFmtId="0" fontId="3" fillId="29" borderId="91" xfId="918" applyFont="1" applyFill="1" applyBorder="1" applyAlignment="1" applyProtection="1">
      <alignment horizontal="center"/>
    </xf>
    <xf numFmtId="0" fontId="3" fillId="29" borderId="91" xfId="918" applyFont="1" applyFill="1" applyBorder="1" applyProtection="1"/>
    <xf numFmtId="0" fontId="3" fillId="29" borderId="93" xfId="918" applyFont="1" applyFill="1" applyBorder="1" applyAlignment="1" applyProtection="1">
      <alignment horizontal="center"/>
    </xf>
    <xf numFmtId="1" fontId="3" fillId="29" borderId="83" xfId="918" applyNumberFormat="1" applyFont="1" applyFill="1" applyBorder="1" applyAlignment="1" applyProtection="1">
      <alignment horizontal="center"/>
      <protection locked="0"/>
    </xf>
    <xf numFmtId="0" fontId="3" fillId="29" borderId="83" xfId="918" applyFont="1" applyFill="1" applyBorder="1" applyAlignment="1" applyProtection="1">
      <alignment wrapText="1"/>
    </xf>
    <xf numFmtId="0" fontId="68" fillId="26" borderId="83" xfId="918" applyFont="1" applyFill="1" applyBorder="1" applyAlignment="1">
      <alignment horizontal="center"/>
    </xf>
    <xf numFmtId="0" fontId="67" fillId="22" borderId="83" xfId="918" applyFont="1" applyFill="1" applyBorder="1"/>
    <xf numFmtId="0" fontId="64" fillId="0" borderId="83" xfId="918" applyFont="1" applyBorder="1"/>
    <xf numFmtId="0" fontId="3" fillId="23" borderId="83" xfId="918" applyFont="1" applyFill="1" applyBorder="1" applyAlignment="1" applyProtection="1"/>
    <xf numFmtId="0" fontId="1" fillId="6" borderId="3" xfId="6" applyNumberFormat="1" applyFont="1" applyFill="1" applyBorder="1" applyAlignment="1" applyProtection="1">
      <alignment horizontal="right"/>
      <protection locked="0"/>
    </xf>
    <xf numFmtId="0" fontId="3" fillId="23" borderId="93" xfId="918" applyFont="1" applyFill="1" applyBorder="1" applyAlignment="1" applyProtection="1"/>
    <xf numFmtId="0" fontId="68" fillId="26" borderId="93" xfId="918" applyFont="1" applyFill="1" applyBorder="1" applyAlignment="1" applyProtection="1"/>
    <xf numFmtId="0" fontId="8" fillId="10" borderId="3" xfId="6" applyNumberFormat="1" applyFont="1" applyFill="1" applyBorder="1" applyAlignment="1" applyProtection="1">
      <alignment horizontal="center"/>
      <protection locked="0"/>
    </xf>
    <xf numFmtId="0" fontId="64" fillId="22" borderId="83" xfId="918" applyFont="1" applyFill="1" applyBorder="1"/>
    <xf numFmtId="0" fontId="64" fillId="0" borderId="96" xfId="918" applyFont="1" applyFill="1" applyBorder="1"/>
    <xf numFmtId="0" fontId="1" fillId="6" borderId="3" xfId="6" applyNumberFormat="1" applyFont="1" applyFill="1" applyBorder="1" applyAlignment="1" applyProtection="1">
      <protection locked="0"/>
    </xf>
    <xf numFmtId="165" fontId="1" fillId="6" borderId="3" xfId="6" applyNumberFormat="1" applyFont="1" applyFill="1" applyBorder="1" applyAlignment="1" applyProtection="1">
      <alignment horizontal="right"/>
      <protection locked="0"/>
    </xf>
    <xf numFmtId="0" fontId="1" fillId="0" borderId="3" xfId="6" applyNumberFormat="1" applyFont="1" applyFill="1" applyBorder="1" applyAlignment="1" applyProtection="1">
      <protection locked="0"/>
    </xf>
    <xf numFmtId="0" fontId="1" fillId="0" borderId="3" xfId="6" applyNumberFormat="1" applyFont="1" applyFill="1" applyBorder="1" applyAlignment="1" applyProtection="1">
      <alignment horizontal="center"/>
      <protection locked="0"/>
    </xf>
    <xf numFmtId="0" fontId="68" fillId="26" borderId="83" xfId="918" applyFont="1" applyFill="1" applyBorder="1" applyAlignment="1">
      <alignment horizontal="right"/>
    </xf>
    <xf numFmtId="0" fontId="1" fillId="6" borderId="3" xfId="6" applyNumberFormat="1" applyFont="1" applyFill="1" applyBorder="1" applyAlignment="1" applyProtection="1">
      <alignment horizontal="left"/>
      <protection locked="0"/>
    </xf>
    <xf numFmtId="2" fontId="64" fillId="24" borderId="83" xfId="918" applyNumberFormat="1" applyFont="1" applyFill="1" applyBorder="1" applyAlignment="1">
      <alignment horizontal="right"/>
    </xf>
    <xf numFmtId="0" fontId="70" fillId="22" borderId="83" xfId="918" applyFont="1" applyFill="1" applyBorder="1"/>
    <xf numFmtId="0" fontId="65" fillId="30" borderId="0" xfId="918" applyFont="1" applyFill="1" applyBorder="1" applyAlignment="1" applyProtection="1">
      <alignment horizontal="center"/>
      <protection locked="0"/>
    </xf>
    <xf numFmtId="0" fontId="68" fillId="26" borderId="83" xfId="918" applyFont="1" applyFill="1" applyBorder="1" applyProtection="1">
      <protection locked="0"/>
    </xf>
    <xf numFmtId="0" fontId="3" fillId="23" borderId="83" xfId="918" applyFont="1" applyFill="1" applyBorder="1" applyProtection="1">
      <protection locked="0"/>
    </xf>
    <xf numFmtId="0" fontId="64" fillId="0" borderId="0" xfId="918" applyFont="1" applyBorder="1" applyAlignment="1">
      <alignment horizontal="center"/>
    </xf>
    <xf numFmtId="1" fontId="3" fillId="31" borderId="83" xfId="918" applyNumberFormat="1" applyFont="1" applyFill="1" applyBorder="1"/>
    <xf numFmtId="0" fontId="7" fillId="5" borderId="0" xfId="6" applyNumberFormat="1" applyFont="1" applyFill="1" applyBorder="1" applyAlignment="1" applyProtection="1">
      <alignment horizontal="left" vertical="center"/>
      <protection locked="0"/>
    </xf>
    <xf numFmtId="2" fontId="3" fillId="31" borderId="83" xfId="918" applyNumberFormat="1" applyFont="1" applyFill="1" applyBorder="1"/>
    <xf numFmtId="0" fontId="71" fillId="24" borderId="83" xfId="918" applyFont="1" applyFill="1" applyBorder="1" applyProtection="1">
      <protection locked="0"/>
    </xf>
    <xf numFmtId="0" fontId="3" fillId="24" borderId="93" xfId="918" applyFont="1" applyFill="1" applyBorder="1" applyProtection="1">
      <protection locked="0"/>
    </xf>
    <xf numFmtId="0" fontId="71" fillId="24" borderId="93" xfId="918" applyFont="1" applyFill="1" applyBorder="1" applyProtection="1">
      <protection locked="0"/>
    </xf>
    <xf numFmtId="0" fontId="68" fillId="28" borderId="83" xfId="918" applyFont="1" applyFill="1" applyBorder="1"/>
    <xf numFmtId="0" fontId="72" fillId="28" borderId="93" xfId="918" applyFont="1" applyFill="1" applyBorder="1" applyAlignment="1" applyProtection="1">
      <alignment horizontal="center"/>
    </xf>
    <xf numFmtId="1" fontId="3" fillId="29" borderId="83" xfId="918" applyNumberFormat="1" applyFont="1" applyFill="1" applyBorder="1" applyAlignment="1" applyProtection="1">
      <alignment horizontal="center"/>
    </xf>
    <xf numFmtId="0" fontId="68" fillId="28" borderId="0" xfId="918" applyFont="1" applyFill="1" applyBorder="1" applyProtection="1">
      <protection locked="0"/>
    </xf>
    <xf numFmtId="0" fontId="68" fillId="28" borderId="97" xfId="918" applyFont="1" applyFill="1" applyBorder="1" applyProtection="1"/>
    <xf numFmtId="0" fontId="68" fillId="28" borderId="98" xfId="918" applyFont="1" applyFill="1" applyBorder="1" applyProtection="1"/>
    <xf numFmtId="0" fontId="73" fillId="29" borderId="91" xfId="918" applyFont="1" applyFill="1" applyBorder="1" applyAlignment="1" applyProtection="1">
      <alignment horizontal="center"/>
    </xf>
    <xf numFmtId="0" fontId="73" fillId="29" borderId="91" xfId="918" applyFont="1" applyFill="1" applyBorder="1" applyProtection="1"/>
    <xf numFmtId="49" fontId="3" fillId="29" borderId="93" xfId="918" applyNumberFormat="1" applyFont="1" applyFill="1" applyBorder="1" applyAlignment="1" applyProtection="1">
      <alignment horizontal="center"/>
    </xf>
    <xf numFmtId="49" fontId="3" fillId="29" borderId="83" xfId="918" applyNumberFormat="1" applyFont="1" applyFill="1" applyBorder="1" applyAlignment="1" applyProtection="1">
      <alignment horizontal="center"/>
    </xf>
    <xf numFmtId="2" fontId="3" fillId="29" borderId="83" xfId="918" applyNumberFormat="1" applyFont="1" applyFill="1" applyBorder="1" applyAlignment="1" applyProtection="1">
      <alignment horizontal="center"/>
    </xf>
    <xf numFmtId="0" fontId="3" fillId="28" borderId="0" xfId="918" applyFont="1" applyFill="1" applyBorder="1" applyProtection="1">
      <protection locked="0"/>
    </xf>
    <xf numFmtId="0" fontId="64" fillId="22" borderId="83" xfId="918" applyFont="1" applyFill="1" applyBorder="1" applyAlignment="1">
      <alignment horizontal="right"/>
    </xf>
    <xf numFmtId="0" fontId="64" fillId="0" borderId="83" xfId="918" applyFont="1" applyBorder="1" applyAlignment="1">
      <alignment horizontal="right"/>
    </xf>
    <xf numFmtId="1" fontId="1" fillId="6" borderId="3" xfId="6" applyNumberFormat="1" applyFont="1" applyFill="1" applyBorder="1" applyAlignment="1" applyProtection="1">
      <alignment horizontal="right"/>
      <protection locked="0"/>
    </xf>
    <xf numFmtId="0" fontId="1" fillId="6" borderId="3" xfId="6" applyNumberFormat="1" applyFont="1" applyFill="1" applyBorder="1" applyAlignment="1" applyProtection="1">
      <alignment wrapText="1"/>
      <protection locked="0"/>
    </xf>
    <xf numFmtId="1" fontId="64" fillId="24" borderId="83" xfId="918" applyNumberFormat="1" applyFont="1" applyFill="1" applyBorder="1"/>
    <xf numFmtId="0" fontId="68" fillId="26" borderId="91" xfId="918" applyFont="1" applyFill="1" applyBorder="1" applyAlignment="1" applyProtection="1">
      <protection locked="0"/>
    </xf>
    <xf numFmtId="2" fontId="68" fillId="26" borderId="83" xfId="918" applyNumberFormat="1" applyFont="1" applyFill="1" applyBorder="1"/>
    <xf numFmtId="0" fontId="3" fillId="22" borderId="83" xfId="918" applyFont="1" applyFill="1" applyBorder="1" applyAlignment="1">
      <alignment horizontal="right"/>
    </xf>
    <xf numFmtId="0" fontId="3" fillId="0" borderId="83" xfId="918" applyFont="1" applyFill="1" applyBorder="1" applyAlignment="1">
      <alignment horizontal="right"/>
    </xf>
    <xf numFmtId="164" fontId="64" fillId="24" borderId="83" xfId="918" applyNumberFormat="1" applyFont="1" applyFill="1" applyBorder="1"/>
    <xf numFmtId="0" fontId="70" fillId="22" borderId="83" xfId="918" applyFont="1" applyFill="1" applyBorder="1" applyAlignment="1">
      <alignment horizontal="right"/>
    </xf>
    <xf numFmtId="0" fontId="64" fillId="27" borderId="83" xfId="918" applyFont="1" applyFill="1" applyBorder="1"/>
    <xf numFmtId="0" fontId="3" fillId="23" borderId="91" xfId="918" applyFont="1" applyFill="1" applyBorder="1" applyAlignment="1" applyProtection="1">
      <protection locked="0"/>
    </xf>
    <xf numFmtId="0" fontId="64" fillId="0" borderId="0" xfId="918" applyFont="1" applyFill="1" applyBorder="1" applyAlignment="1">
      <alignment horizontal="center"/>
    </xf>
    <xf numFmtId="164" fontId="68" fillId="26" borderId="83" xfId="918" applyNumberFormat="1" applyFont="1" applyFill="1" applyBorder="1"/>
    <xf numFmtId="0" fontId="3" fillId="23" borderId="91" xfId="918" applyFont="1" applyFill="1" applyBorder="1" applyAlignment="1">
      <alignment horizontal="left"/>
    </xf>
    <xf numFmtId="0" fontId="3" fillId="23" borderId="91" xfId="918" applyFont="1" applyFill="1" applyBorder="1" applyAlignment="1">
      <alignment horizontal="left" indent="1"/>
    </xf>
    <xf numFmtId="0" fontId="68" fillId="26" borderId="0" xfId="918" applyFont="1" applyFill="1"/>
    <xf numFmtId="0" fontId="64" fillId="22" borderId="83" xfId="918" applyFont="1" applyFill="1" applyBorder="1" applyAlignment="1" applyProtection="1">
      <alignment horizontal="right"/>
    </xf>
    <xf numFmtId="0" fontId="64" fillId="27" borderId="83" xfId="918" applyFont="1" applyFill="1" applyBorder="1" applyAlignment="1" applyProtection="1">
      <alignment horizontal="right"/>
    </xf>
    <xf numFmtId="0" fontId="3" fillId="27" borderId="83" xfId="918" applyFont="1" applyFill="1" applyBorder="1" applyAlignment="1" applyProtection="1">
      <alignment horizontal="left"/>
    </xf>
    <xf numFmtId="0" fontId="64" fillId="27" borderId="0" xfId="918" applyFont="1" applyFill="1" applyAlignment="1">
      <alignment horizontal="right"/>
    </xf>
    <xf numFmtId="0" fontId="64" fillId="27" borderId="0" xfId="918" applyFont="1" applyFill="1"/>
    <xf numFmtId="0" fontId="64" fillId="27" borderId="83" xfId="918" applyFont="1" applyFill="1" applyBorder="1" applyAlignment="1">
      <alignment horizontal="right"/>
    </xf>
    <xf numFmtId="0" fontId="1" fillId="12" borderId="3" xfId="6" applyNumberFormat="1" applyFont="1" applyFill="1" applyBorder="1" applyAlignment="1" applyProtection="1">
      <alignment horizontal="center"/>
      <protection locked="0"/>
    </xf>
    <xf numFmtId="0" fontId="66" fillId="28" borderId="83" xfId="918" applyFont="1" applyFill="1" applyBorder="1" applyAlignment="1">
      <alignment horizontal="center"/>
    </xf>
    <xf numFmtId="0" fontId="64" fillId="29" borderId="83" xfId="918" applyFont="1" applyFill="1" applyBorder="1" applyAlignment="1">
      <alignment horizontal="center"/>
    </xf>
    <xf numFmtId="0" fontId="3" fillId="29" borderId="83" xfId="918" applyFont="1" applyFill="1" applyBorder="1" applyAlignment="1">
      <alignment vertical="top"/>
    </xf>
    <xf numFmtId="164" fontId="3" fillId="29" borderId="83" xfId="918" applyNumberFormat="1" applyFont="1" applyFill="1" applyBorder="1" applyAlignment="1">
      <alignment horizontal="center" vertical="center"/>
    </xf>
    <xf numFmtId="2" fontId="3" fillId="29" borderId="83" xfId="918" applyNumberFormat="1" applyFont="1" applyFill="1" applyBorder="1" applyAlignment="1">
      <alignment horizontal="center" vertical="center"/>
    </xf>
    <xf numFmtId="1" fontId="3" fillId="29" borderId="83" xfId="918" applyNumberFormat="1" applyFont="1" applyFill="1" applyBorder="1" applyAlignment="1">
      <alignment horizontal="center" vertical="center"/>
    </xf>
    <xf numFmtId="171" fontId="3" fillId="29" borderId="83" xfId="918" applyNumberFormat="1" applyFont="1" applyFill="1" applyBorder="1" applyAlignment="1">
      <alignment horizontal="center" vertical="center"/>
    </xf>
    <xf numFmtId="169" fontId="3" fillId="29" borderId="83" xfId="918" applyNumberFormat="1" applyFont="1" applyFill="1" applyBorder="1" applyAlignment="1">
      <alignment horizontal="center" vertical="center"/>
    </xf>
    <xf numFmtId="0" fontId="3" fillId="29" borderId="89" xfId="918" applyFont="1" applyFill="1" applyBorder="1" applyProtection="1"/>
    <xf numFmtId="0" fontId="3" fillId="29" borderId="99" xfId="918" applyFont="1" applyFill="1" applyBorder="1" applyAlignment="1" applyProtection="1">
      <alignment horizontal="center"/>
    </xf>
    <xf numFmtId="0" fontId="3" fillId="29" borderId="83" xfId="918" applyFont="1" applyFill="1" applyBorder="1" applyAlignment="1">
      <alignment horizontal="center" vertical="center"/>
    </xf>
    <xf numFmtId="0" fontId="67" fillId="0" borderId="83" xfId="918" applyFont="1" applyBorder="1" applyAlignment="1" applyProtection="1">
      <alignment horizontal="center"/>
    </xf>
    <xf numFmtId="0" fontId="67" fillId="0" borderId="83" xfId="918" applyFont="1" applyBorder="1" applyAlignment="1" applyProtection="1">
      <alignment horizontal="left"/>
    </xf>
    <xf numFmtId="0" fontId="69" fillId="0" borderId="83" xfId="918" applyFont="1" applyBorder="1" applyAlignment="1" applyProtection="1">
      <alignment horizontal="center"/>
    </xf>
    <xf numFmtId="0" fontId="4" fillId="10" borderId="3" xfId="6" applyNumberFormat="1" applyFont="1" applyFill="1" applyBorder="1" applyAlignment="1" applyProtection="1">
      <alignment horizontal="center" vertical="center"/>
      <protection locked="0"/>
    </xf>
    <xf numFmtId="0" fontId="8" fillId="10" borderId="0" xfId="6" applyNumberFormat="1" applyFont="1" applyFill="1" applyBorder="1" applyAlignment="1" applyProtection="1">
      <alignment horizontal="left" vertical="center"/>
      <protection locked="0"/>
    </xf>
    <xf numFmtId="0" fontId="9" fillId="5" borderId="3" xfId="6" applyNumberFormat="1" applyFont="1" applyFill="1" applyBorder="1" applyAlignment="1" applyProtection="1"/>
    <xf numFmtId="0" fontId="1" fillId="6" borderId="3" xfId="6" applyNumberFormat="1" applyFont="1" applyFill="1" applyBorder="1" applyAlignment="1" applyProtection="1">
      <alignment horizontal="center"/>
      <protection locked="0"/>
    </xf>
    <xf numFmtId="0" fontId="9" fillId="6" borderId="3" xfId="6" applyNumberFormat="1" applyFont="1" applyFill="1" applyBorder="1" applyAlignment="1">
      <alignment horizontal="left" indent="1"/>
    </xf>
    <xf numFmtId="0" fontId="1" fillId="6" borderId="3" xfId="6" applyNumberFormat="1" applyFont="1" applyFill="1" applyBorder="1" applyAlignment="1">
      <alignment horizontal="center"/>
    </xf>
    <xf numFmtId="0" fontId="1" fillId="6" borderId="3" xfId="6" applyNumberFormat="1" applyFont="1" applyFill="1" applyBorder="1" applyAlignment="1">
      <alignment horizontal="left"/>
    </xf>
    <xf numFmtId="165" fontId="7" fillId="0" borderId="1" xfId="6" applyNumberFormat="1" applyFont="1" applyFill="1" applyBorder="1" applyAlignment="1" applyProtection="1">
      <alignment horizontal="center"/>
    </xf>
    <xf numFmtId="0" fontId="7" fillId="0" borderId="0" xfId="6" applyNumberFormat="1" applyFont="1" applyFill="1" applyBorder="1" applyAlignment="1">
      <alignment horizontal="left"/>
    </xf>
    <xf numFmtId="0" fontId="1" fillId="0" borderId="0" xfId="6" applyNumberFormat="1" applyFont="1" applyFill="1" applyBorder="1" applyAlignment="1" applyProtection="1">
      <protection locked="0"/>
    </xf>
    <xf numFmtId="1" fontId="1" fillId="6" borderId="3" xfId="6" applyNumberFormat="1" applyFont="1" applyFill="1" applyBorder="1" applyAlignment="1" applyProtection="1">
      <alignment horizontal="center"/>
      <protection locked="0"/>
    </xf>
    <xf numFmtId="0" fontId="9" fillId="6" borderId="3" xfId="6" applyNumberFormat="1" applyFont="1" applyFill="1" applyBorder="1" applyAlignment="1" applyProtection="1">
      <alignment horizontal="left" indent="1"/>
      <protection locked="0"/>
    </xf>
    <xf numFmtId="1" fontId="1" fillId="6" borderId="3" xfId="6" applyNumberFormat="1" applyFont="1" applyFill="1" applyBorder="1" applyAlignment="1" applyProtection="1">
      <alignment horizontal="center" wrapText="1"/>
      <protection locked="0"/>
    </xf>
    <xf numFmtId="165" fontId="7" fillId="0" borderId="1" xfId="6" applyNumberFormat="1" applyFont="1" applyFill="1" applyBorder="1" applyAlignment="1" applyProtection="1">
      <alignment horizontal="center" vertical="center"/>
    </xf>
    <xf numFmtId="0" fontId="9" fillId="0" borderId="0" xfId="6" applyNumberFormat="1" applyFont="1" applyFill="1" applyBorder="1" applyAlignment="1" applyProtection="1">
      <protection locked="0"/>
    </xf>
    <xf numFmtId="0" fontId="1" fillId="6" borderId="3" xfId="6" applyNumberFormat="1" applyFont="1" applyFill="1" applyBorder="1" applyAlignment="1">
      <alignment horizontal="center" wrapText="1"/>
    </xf>
    <xf numFmtId="165" fontId="7" fillId="0" borderId="2" xfId="6" applyNumberFormat="1" applyFont="1" applyFill="1" applyBorder="1" applyAlignment="1" applyProtection="1">
      <alignment horizontal="center" vertical="center"/>
    </xf>
    <xf numFmtId="0" fontId="9" fillId="0" borderId="10" xfId="6" applyNumberFormat="1" applyFont="1" applyFill="1" applyBorder="1" applyAlignment="1" applyProtection="1">
      <protection locked="0"/>
    </xf>
    <xf numFmtId="0" fontId="1" fillId="0" borderId="10" xfId="6" applyNumberFormat="1" applyFont="1" applyFill="1" applyBorder="1" applyAlignment="1" applyProtection="1">
      <protection locked="0"/>
    </xf>
    <xf numFmtId="0" fontId="1" fillId="0" borderId="3" xfId="6" applyNumberFormat="1" applyFont="1" applyFill="1" applyBorder="1" applyAlignment="1" applyProtection="1">
      <alignment horizontal="right"/>
      <protection locked="0"/>
    </xf>
    <xf numFmtId="0" fontId="9" fillId="6" borderId="3" xfId="6" applyNumberFormat="1" applyFont="1" applyFill="1" applyBorder="1" applyAlignment="1">
      <alignment horizontal="left"/>
    </xf>
    <xf numFmtId="1" fontId="1" fillId="6" borderId="3" xfId="6" applyNumberFormat="1" applyFont="1" applyFill="1" applyBorder="1" applyProtection="1">
      <protection locked="0"/>
    </xf>
    <xf numFmtId="165" fontId="7" fillId="0" borderId="0" xfId="6" applyNumberFormat="1" applyFont="1" applyFill="1" applyBorder="1" applyAlignment="1" applyProtection="1">
      <alignment horizontal="center"/>
    </xf>
    <xf numFmtId="0" fontId="7" fillId="0" borderId="3" xfId="6" applyNumberFormat="1" applyFont="1" applyFill="1" applyBorder="1" applyAlignment="1" applyProtection="1">
      <alignment horizontal="left"/>
    </xf>
    <xf numFmtId="0" fontId="7" fillId="0" borderId="3" xfId="6" applyNumberFormat="1" applyFont="1" applyFill="1" applyBorder="1" applyAlignment="1" applyProtection="1">
      <protection locked="0"/>
    </xf>
    <xf numFmtId="0" fontId="8" fillId="10" borderId="5" xfId="6" applyNumberFormat="1" applyFont="1" applyFill="1" applyBorder="1" applyAlignment="1" applyProtection="1">
      <alignment vertical="center"/>
      <protection locked="0"/>
    </xf>
    <xf numFmtId="0" fontId="8" fillId="10" borderId="6" xfId="6" applyNumberFormat="1" applyFont="1" applyFill="1" applyBorder="1" applyAlignment="1" applyProtection="1">
      <alignment vertical="center"/>
      <protection locked="0"/>
    </xf>
    <xf numFmtId="165" fontId="1" fillId="6" borderId="3" xfId="6" applyNumberFormat="1" applyFont="1" applyFill="1" applyBorder="1" applyAlignment="1">
      <alignment horizontal="left" vertical="center" wrapText="1"/>
    </xf>
    <xf numFmtId="165" fontId="1" fillId="6" borderId="3" xfId="6" applyNumberFormat="1" applyFont="1" applyFill="1" applyBorder="1" applyAlignment="1" applyProtection="1">
      <protection locked="0"/>
    </xf>
    <xf numFmtId="165" fontId="1" fillId="6" borderId="3" xfId="6" applyNumberFormat="1" applyFont="1" applyFill="1" applyBorder="1" applyAlignment="1">
      <alignment horizontal="right" vertical="center" wrapText="1"/>
    </xf>
    <xf numFmtId="0" fontId="9" fillId="6" borderId="3" xfId="6" applyNumberFormat="1" applyFont="1" applyFill="1" applyBorder="1" applyAlignment="1" applyProtection="1">
      <alignment horizontal="left" indent="1"/>
    </xf>
    <xf numFmtId="0" fontId="1" fillId="6" borderId="8" xfId="6" applyNumberFormat="1" applyFont="1" applyFill="1" applyBorder="1" applyAlignment="1" applyProtection="1">
      <alignment horizontal="center"/>
      <protection locked="0"/>
    </xf>
    <xf numFmtId="1" fontId="7" fillId="6" borderId="3" xfId="6" applyNumberFormat="1" applyFont="1" applyFill="1" applyBorder="1" applyAlignment="1" applyProtection="1">
      <protection locked="0"/>
    </xf>
    <xf numFmtId="0" fontId="1" fillId="6" borderId="8" xfId="6" applyNumberFormat="1" applyFont="1" applyFill="1" applyBorder="1" applyAlignment="1">
      <alignment horizontal="center" wrapText="1"/>
    </xf>
    <xf numFmtId="0" fontId="1" fillId="0" borderId="0" xfId="6" applyNumberFormat="1" applyFont="1" applyFill="1" applyBorder="1" applyAlignment="1">
      <alignment horizontal="center" wrapText="1"/>
    </xf>
    <xf numFmtId="0" fontId="1" fillId="0" borderId="0" xfId="6" applyNumberFormat="1" applyFont="1" applyFill="1" applyBorder="1" applyAlignment="1">
      <alignment horizontal="right" vertical="center" wrapText="1"/>
    </xf>
    <xf numFmtId="0" fontId="1" fillId="6" borderId="4" xfId="6" applyNumberFormat="1" applyFont="1" applyFill="1" applyBorder="1" applyAlignment="1">
      <alignment horizontal="center"/>
    </xf>
    <xf numFmtId="165" fontId="1" fillId="0" borderId="1" xfId="6" applyNumberFormat="1" applyFont="1" applyFill="1" applyBorder="1" applyAlignment="1" applyProtection="1">
      <alignment horizontal="center"/>
    </xf>
    <xf numFmtId="0" fontId="1" fillId="0" borderId="0" xfId="6" applyNumberFormat="1" applyFont="1" applyFill="1" applyBorder="1" applyAlignment="1">
      <alignment horizontal="center"/>
    </xf>
    <xf numFmtId="0" fontId="1" fillId="0" borderId="0" xfId="6" applyNumberFormat="1" applyFont="1" applyFill="1" applyBorder="1" applyAlignment="1">
      <alignment horizontal="left"/>
    </xf>
    <xf numFmtId="0" fontId="9" fillId="0" borderId="0" xfId="6" applyNumberFormat="1" applyFont="1" applyFill="1" applyBorder="1" applyAlignment="1" applyProtection="1">
      <alignment vertical="top"/>
      <protection locked="0"/>
    </xf>
    <xf numFmtId="0" fontId="1" fillId="6" borderId="3" xfId="6" applyNumberFormat="1" applyFont="1" applyFill="1" applyBorder="1" applyAlignment="1">
      <alignment horizontal="right"/>
    </xf>
    <xf numFmtId="0" fontId="18" fillId="0" borderId="3" xfId="7" applyNumberFormat="1" applyFont="1" applyFill="1" applyBorder="1" applyAlignment="1" applyProtection="1">
      <alignment horizontal="right"/>
      <protection locked="0"/>
    </xf>
    <xf numFmtId="0" fontId="19" fillId="6" borderId="3" xfId="7" applyNumberFormat="1" applyFont="1" applyFill="1" applyBorder="1" applyAlignment="1">
      <alignment horizontal="left" indent="1"/>
    </xf>
    <xf numFmtId="1" fontId="18" fillId="6" borderId="3" xfId="7" applyNumberFormat="1" applyFont="1" applyFill="1" applyBorder="1" applyAlignment="1" applyProtection="1">
      <alignment horizontal="center"/>
      <protection locked="0"/>
    </xf>
    <xf numFmtId="1" fontId="20" fillId="6" borderId="3" xfId="7" applyNumberFormat="1" applyFont="1" applyFill="1" applyBorder="1" applyAlignment="1" applyProtection="1">
      <alignment horizontal="center"/>
      <protection locked="0"/>
    </xf>
    <xf numFmtId="0" fontId="18" fillId="6" borderId="3" xfId="7" applyNumberFormat="1" applyFont="1" applyFill="1" applyBorder="1" applyAlignment="1" applyProtection="1">
      <protection locked="0"/>
    </xf>
    <xf numFmtId="165" fontId="1" fillId="0" borderId="2" xfId="6" applyNumberFormat="1" applyFont="1" applyFill="1" applyBorder="1" applyAlignment="1" applyProtection="1">
      <alignment horizontal="center"/>
    </xf>
    <xf numFmtId="0" fontId="1" fillId="0" borderId="10" xfId="6" applyNumberFormat="1" applyFont="1" applyFill="1" applyBorder="1" applyAlignment="1">
      <alignment horizontal="center"/>
    </xf>
    <xf numFmtId="0" fontId="1" fillId="0" borderId="10" xfId="6" applyNumberFormat="1" applyFont="1" applyFill="1" applyBorder="1" applyAlignment="1">
      <alignment horizontal="left"/>
    </xf>
    <xf numFmtId="0" fontId="9" fillId="0" borderId="10" xfId="6" applyNumberFormat="1" applyFont="1" applyFill="1" applyBorder="1" applyAlignment="1" applyProtection="1">
      <alignment vertical="top"/>
      <protection locked="0"/>
    </xf>
    <xf numFmtId="0" fontId="7" fillId="6" borderId="6" xfId="6" applyNumberFormat="1" applyFont="1" applyFill="1" applyBorder="1" applyAlignment="1" applyProtection="1">
      <alignment horizontal="left"/>
      <protection locked="0"/>
    </xf>
    <xf numFmtId="0" fontId="1" fillId="6" borderId="3" xfId="6" applyNumberFormat="1" applyFont="1" applyFill="1" applyBorder="1" applyAlignment="1" applyProtection="1">
      <alignment horizontal="left" indent="1"/>
      <protection locked="0"/>
    </xf>
    <xf numFmtId="0" fontId="1" fillId="6" borderId="5" xfId="6" applyNumberFormat="1" applyFont="1" applyFill="1" applyBorder="1" applyAlignment="1">
      <alignment horizontal="left"/>
    </xf>
    <xf numFmtId="0" fontId="1" fillId="0" borderId="11" xfId="6" applyNumberFormat="1" applyFont="1" applyFill="1" applyBorder="1" applyAlignment="1" applyProtection="1">
      <protection locked="0"/>
    </xf>
    <xf numFmtId="0" fontId="1" fillId="6" borderId="6" xfId="6" applyNumberFormat="1" applyFont="1" applyFill="1" applyBorder="1" applyAlignment="1" applyProtection="1">
      <protection locked="0"/>
    </xf>
    <xf numFmtId="0" fontId="1" fillId="6" borderId="6" xfId="6" applyNumberFormat="1" applyFont="1" applyFill="1" applyBorder="1" applyAlignment="1" applyProtection="1">
      <alignment horizontal="center"/>
      <protection locked="0"/>
    </xf>
    <xf numFmtId="0" fontId="1" fillId="6" borderId="8" xfId="6" applyNumberFormat="1" applyFont="1" applyFill="1" applyBorder="1" applyAlignment="1">
      <alignment horizontal="left"/>
    </xf>
    <xf numFmtId="0" fontId="1" fillId="6" borderId="5" xfId="6" applyNumberFormat="1" applyFont="1" applyFill="1" applyBorder="1" applyAlignment="1" applyProtection="1">
      <alignment horizontal="center"/>
      <protection locked="0"/>
    </xf>
    <xf numFmtId="0" fontId="1" fillId="0" borderId="2" xfId="6" applyNumberFormat="1" applyFont="1" applyFill="1" applyBorder="1" applyAlignment="1" applyProtection="1">
      <protection locked="0"/>
    </xf>
    <xf numFmtId="0" fontId="73" fillId="29" borderId="83" xfId="918" applyFont="1" applyFill="1" applyBorder="1" applyAlignment="1">
      <alignment vertical="top"/>
    </xf>
    <xf numFmtId="0" fontId="1" fillId="0" borderId="1" xfId="6" applyNumberFormat="1" applyFont="1" applyFill="1" applyBorder="1" applyAlignment="1"/>
    <xf numFmtId="0" fontId="1" fillId="0" borderId="0" xfId="6" applyNumberFormat="1" applyFont="1" applyFill="1" applyBorder="1" applyAlignment="1"/>
    <xf numFmtId="0" fontId="66" fillId="28" borderId="93" xfId="918" applyFont="1" applyFill="1" applyBorder="1" applyAlignment="1" applyProtection="1">
      <alignment horizontal="left"/>
    </xf>
    <xf numFmtId="0" fontId="7" fillId="11" borderId="3" xfId="6" applyNumberFormat="1" applyFont="1" applyFill="1" applyBorder="1" applyAlignment="1">
      <alignment horizontal="center"/>
    </xf>
    <xf numFmtId="0" fontId="7" fillId="11" borderId="3" xfId="6" applyNumberFormat="1" applyFont="1" applyFill="1" applyBorder="1" applyAlignment="1"/>
    <xf numFmtId="0" fontId="1" fillId="11" borderId="0" xfId="6" applyNumberFormat="1" applyFont="1" applyFill="1" applyAlignment="1" applyProtection="1">
      <protection locked="0"/>
    </xf>
    <xf numFmtId="0" fontId="1" fillId="11" borderId="11" xfId="6" applyNumberFormat="1" applyFont="1" applyFill="1" applyBorder="1" applyAlignment="1"/>
    <xf numFmtId="0" fontId="9" fillId="11" borderId="3" xfId="6" applyNumberFormat="1" applyFont="1" applyFill="1" applyBorder="1" applyAlignment="1">
      <alignment horizontal="left" wrapText="1"/>
    </xf>
    <xf numFmtId="1" fontId="1" fillId="11" borderId="3" xfId="6" applyNumberFormat="1" applyFont="1" applyFill="1" applyBorder="1" applyAlignment="1">
      <alignment horizontal="center"/>
    </xf>
    <xf numFmtId="0" fontId="1" fillId="11" borderId="3" xfId="6" applyNumberFormat="1" applyFont="1" applyFill="1" applyBorder="1" applyAlignment="1">
      <alignment horizontal="center"/>
    </xf>
    <xf numFmtId="0" fontId="1" fillId="11" borderId="3" xfId="6" applyNumberFormat="1" applyFont="1" applyFill="1" applyBorder="1" applyAlignment="1"/>
    <xf numFmtId="0" fontId="1" fillId="11" borderId="7" xfId="6" applyNumberFormat="1" applyFont="1" applyFill="1" applyBorder="1" applyAlignment="1"/>
    <xf numFmtId="0" fontId="73" fillId="29" borderId="89" xfId="918" applyFont="1" applyFill="1" applyBorder="1" applyProtection="1"/>
    <xf numFmtId="0" fontId="74" fillId="29" borderId="89" xfId="918" applyFont="1" applyFill="1" applyBorder="1" applyProtection="1"/>
    <xf numFmtId="0" fontId="7" fillId="11" borderId="5" xfId="6" applyNumberFormat="1" applyFont="1" applyFill="1" applyBorder="1" applyAlignment="1"/>
    <xf numFmtId="0" fontId="1" fillId="11" borderId="8" xfId="6" applyNumberFormat="1" applyFont="1" applyFill="1" applyBorder="1" applyAlignment="1" applyProtection="1">
      <protection locked="0"/>
    </xf>
    <xf numFmtId="0" fontId="7" fillId="11" borderId="8" xfId="6" applyNumberFormat="1" applyFont="1" applyFill="1" applyBorder="1" applyAlignment="1">
      <alignment horizontal="center"/>
    </xf>
    <xf numFmtId="1" fontId="3" fillId="32" borderId="83" xfId="918" applyNumberFormat="1" applyFont="1" applyFill="1" applyBorder="1"/>
    <xf numFmtId="0" fontId="1" fillId="3" borderId="0" xfId="6" applyNumberFormat="1" applyFont="1" applyFill="1" applyBorder="1" applyAlignment="1" applyProtection="1">
      <protection locked="0"/>
    </xf>
    <xf numFmtId="0" fontId="64" fillId="0" borderId="91" xfId="918" applyFont="1" applyBorder="1" applyAlignment="1">
      <alignment horizontal="right"/>
    </xf>
    <xf numFmtId="0" fontId="69" fillId="22" borderId="90" xfId="918" applyFont="1" applyFill="1" applyBorder="1" applyAlignment="1" applyProtection="1">
      <alignment horizontal="center"/>
    </xf>
    <xf numFmtId="0" fontId="7" fillId="3" borderId="7" xfId="6" applyNumberFormat="1" applyFont="1" applyFill="1" applyBorder="1" applyAlignment="1" applyProtection="1">
      <protection locked="0"/>
    </xf>
    <xf numFmtId="0" fontId="1" fillId="6" borderId="31" xfId="6" applyNumberFormat="1" applyFont="1" applyFill="1" applyBorder="1" applyAlignment="1" applyProtection="1">
      <protection locked="0"/>
    </xf>
    <xf numFmtId="0" fontId="1" fillId="6" borderId="31" xfId="6" applyNumberFormat="1" applyFont="1" applyFill="1" applyBorder="1" applyAlignment="1">
      <alignment horizontal="center"/>
    </xf>
    <xf numFmtId="0" fontId="1" fillId="6" borderId="31" xfId="6" applyNumberFormat="1" applyFont="1" applyFill="1" applyBorder="1" applyAlignment="1">
      <alignment horizontal="left"/>
    </xf>
    <xf numFmtId="2" fontId="3" fillId="0" borderId="31" xfId="918" applyNumberFormat="1" applyFont="1" applyBorder="1"/>
    <xf numFmtId="0" fontId="1" fillId="32" borderId="31" xfId="6" applyNumberFormat="1" applyFont="1" applyFill="1" applyBorder="1" applyAlignment="1" applyProtection="1">
      <protection locked="0"/>
    </xf>
    <xf numFmtId="0" fontId="1" fillId="33" borderId="3" xfId="6" applyNumberFormat="1" applyFont="1" applyFill="1" applyBorder="1" applyAlignment="1" applyProtection="1"/>
    <xf numFmtId="0" fontId="1" fillId="33" borderId="7" xfId="6" applyNumberFormat="1" applyFont="1" applyFill="1" applyBorder="1" applyAlignment="1" applyProtection="1">
      <alignment horizontal="center"/>
      <protection locked="0"/>
    </xf>
    <xf numFmtId="0" fontId="1" fillId="33" borderId="3" xfId="6" applyNumberFormat="1" applyFont="1" applyFill="1" applyBorder="1" applyAlignment="1" applyProtection="1">
      <alignment horizontal="right"/>
    </xf>
    <xf numFmtId="164" fontId="68" fillId="26" borderId="83" xfId="918" applyNumberFormat="1" applyFont="1" applyFill="1" applyBorder="1" applyProtection="1"/>
    <xf numFmtId="2" fontId="69" fillId="22" borderId="83" xfId="918" applyNumberFormat="1" applyFont="1" applyFill="1" applyBorder="1" applyAlignment="1" applyProtection="1">
      <alignment horizontal="center"/>
    </xf>
    <xf numFmtId="2" fontId="66" fillId="28" borderId="93" xfId="918" applyNumberFormat="1" applyFont="1" applyFill="1" applyBorder="1" applyAlignment="1" applyProtection="1">
      <alignment horizontal="center"/>
    </xf>
    <xf numFmtId="0" fontId="64" fillId="32" borderId="0" xfId="918" applyFont="1" applyFill="1"/>
    <xf numFmtId="0" fontId="1" fillId="32" borderId="3" xfId="6" applyNumberFormat="1" applyFont="1" applyFill="1" applyBorder="1" applyAlignment="1" applyProtection="1">
      <alignment horizontal="right"/>
    </xf>
    <xf numFmtId="1" fontId="3" fillId="0" borderId="83" xfId="918" applyNumberFormat="1" applyFont="1" applyFill="1" applyBorder="1"/>
    <xf numFmtId="2" fontId="64" fillId="0" borderId="0" xfId="918" applyNumberFormat="1" applyFont="1"/>
    <xf numFmtId="2" fontId="64" fillId="32" borderId="0" xfId="918" applyNumberFormat="1" applyFont="1" applyFill="1"/>
    <xf numFmtId="172" fontId="64" fillId="32" borderId="0" xfId="918" applyNumberFormat="1" applyFont="1" applyFill="1"/>
    <xf numFmtId="2" fontId="64" fillId="0" borderId="0" xfId="918" applyNumberFormat="1" applyFont="1" applyFill="1"/>
    <xf numFmtId="172" fontId="64" fillId="0" borderId="0" xfId="918" applyNumberFormat="1" applyFont="1" applyFill="1"/>
    <xf numFmtId="0" fontId="64" fillId="33" borderId="83" xfId="918" applyFont="1" applyFill="1" applyBorder="1"/>
    <xf numFmtId="0" fontId="1" fillId="33" borderId="3" xfId="6" applyNumberFormat="1" applyFont="1" applyFill="1" applyBorder="1" applyAlignment="1" applyProtection="1">
      <protection locked="0"/>
    </xf>
    <xf numFmtId="0" fontId="1" fillId="33" borderId="3" xfId="6" applyNumberFormat="1" applyFont="1" applyFill="1" applyBorder="1" applyAlignment="1" applyProtection="1">
      <alignment horizontal="right"/>
      <protection locked="0"/>
    </xf>
    <xf numFmtId="0" fontId="64" fillId="33" borderId="0" xfId="918" applyFont="1" applyFill="1"/>
    <xf numFmtId="0" fontId="2" fillId="33" borderId="0" xfId="918" applyFill="1"/>
    <xf numFmtId="0" fontId="3" fillId="33" borderId="93" xfId="918" applyFont="1" applyFill="1" applyBorder="1" applyAlignment="1" applyProtection="1"/>
    <xf numFmtId="165" fontId="1" fillId="33" borderId="3" xfId="6" applyNumberFormat="1" applyFont="1" applyFill="1" applyBorder="1" applyAlignment="1" applyProtection="1">
      <alignment horizontal="right"/>
      <protection locked="0"/>
    </xf>
    <xf numFmtId="1" fontId="68" fillId="26" borderId="83" xfId="918" applyNumberFormat="1" applyFont="1" applyFill="1" applyBorder="1"/>
    <xf numFmtId="1" fontId="68" fillId="26" borderId="83" xfId="918" applyNumberFormat="1" applyFont="1" applyFill="1" applyBorder="1" applyAlignment="1">
      <alignment horizontal="center"/>
    </xf>
    <xf numFmtId="2" fontId="65" fillId="19" borderId="90" xfId="918" applyNumberFormat="1" applyFont="1" applyFill="1" applyBorder="1" applyAlignment="1" applyProtection="1">
      <alignment horizontal="center"/>
    </xf>
    <xf numFmtId="1" fontId="1" fillId="33" borderId="3" xfId="6" applyNumberFormat="1" applyFont="1" applyFill="1" applyBorder="1" applyAlignment="1" applyProtection="1">
      <alignment horizontal="right"/>
      <protection locked="0"/>
    </xf>
    <xf numFmtId="2" fontId="72" fillId="28" borderId="93" xfId="918" applyNumberFormat="1" applyFont="1" applyFill="1" applyBorder="1" applyAlignment="1" applyProtection="1">
      <alignment horizontal="center"/>
    </xf>
    <xf numFmtId="3" fontId="28" fillId="8" borderId="60" xfId="0" applyNumberFormat="1" applyFont="1" applyFill="1" applyBorder="1" applyAlignment="1" applyProtection="1">
      <alignment horizontal="center" vertical="center"/>
      <protection locked="0"/>
    </xf>
    <xf numFmtId="0" fontId="64" fillId="27" borderId="83" xfId="918" applyFont="1" applyFill="1" applyBorder="1" applyAlignment="1">
      <alignment horizontal="left"/>
    </xf>
    <xf numFmtId="173" fontId="64" fillId="32" borderId="0" xfId="918" applyNumberFormat="1" applyFont="1" applyFill="1"/>
    <xf numFmtId="0" fontId="1" fillId="33" borderId="3" xfId="6" applyNumberFormat="1" applyFont="1" applyFill="1" applyBorder="1" applyAlignment="1" applyProtection="1">
      <alignment horizontal="left"/>
      <protection locked="0"/>
    </xf>
    <xf numFmtId="0" fontId="1" fillId="33" borderId="3" xfId="6" applyNumberFormat="1" applyFont="1" applyFill="1" applyBorder="1" applyAlignment="1" applyProtection="1">
      <alignment horizontal="center"/>
      <protection locked="0"/>
    </xf>
    <xf numFmtId="0" fontId="1" fillId="33" borderId="3" xfId="6" applyNumberFormat="1" applyFont="1" applyFill="1" applyBorder="1" applyAlignment="1" applyProtection="1">
      <alignment horizontal="left" indent="1"/>
      <protection locked="0"/>
    </xf>
    <xf numFmtId="172" fontId="64" fillId="0" borderId="0" xfId="918" applyNumberFormat="1" applyFont="1"/>
    <xf numFmtId="1" fontId="64" fillId="32" borderId="0" xfId="918" applyNumberFormat="1" applyFont="1" applyFill="1"/>
    <xf numFmtId="3" fontId="28" fillId="8" borderId="59" xfId="0" applyNumberFormat="1" applyFont="1" applyFill="1" applyBorder="1" applyAlignment="1" applyProtection="1">
      <alignment horizontal="center" vertical="center"/>
      <protection locked="0"/>
    </xf>
    <xf numFmtId="3" fontId="28" fillId="8" borderId="103" xfId="0" applyNumberFormat="1" applyFont="1" applyFill="1" applyBorder="1" applyAlignment="1" applyProtection="1">
      <alignment horizontal="center" vertical="center"/>
      <protection locked="0"/>
    </xf>
    <xf numFmtId="3" fontId="28" fillId="8" borderId="104" xfId="0" applyNumberFormat="1" applyFont="1" applyFill="1" applyBorder="1" applyAlignment="1" applyProtection="1">
      <alignment horizontal="center" vertical="center"/>
      <protection locked="0"/>
    </xf>
    <xf numFmtId="3" fontId="28" fillId="8" borderId="105" xfId="0" applyNumberFormat="1" applyFont="1" applyFill="1" applyBorder="1" applyAlignment="1" applyProtection="1">
      <alignment horizontal="center" vertical="center"/>
      <protection locked="0"/>
    </xf>
    <xf numFmtId="3" fontId="28" fillId="8" borderId="106" xfId="0" applyNumberFormat="1" applyFont="1" applyFill="1" applyBorder="1" applyAlignment="1" applyProtection="1">
      <alignment horizontal="center" vertical="center"/>
      <protection locked="0"/>
    </xf>
    <xf numFmtId="9" fontId="28" fillId="8" borderId="107" xfId="847" applyFont="1" applyFill="1" applyBorder="1" applyAlignment="1" applyProtection="1">
      <alignment horizontal="center" vertical="center"/>
      <protection locked="0"/>
    </xf>
    <xf numFmtId="3" fontId="28" fillId="8" borderId="107" xfId="0" applyNumberFormat="1" applyFont="1" applyFill="1" applyBorder="1" applyAlignment="1" applyProtection="1">
      <alignment horizontal="center" vertical="center"/>
      <protection locked="0"/>
    </xf>
    <xf numFmtId="169" fontId="28" fillId="8" borderId="0" xfId="0" applyNumberFormat="1" applyFont="1" applyFill="1" applyBorder="1" applyAlignment="1" applyProtection="1">
      <alignment horizontal="center" vertical="center"/>
      <protection locked="0"/>
    </xf>
    <xf numFmtId="9" fontId="28" fillId="8" borderId="108" xfId="847" applyFont="1" applyFill="1" applyBorder="1" applyAlignment="1" applyProtection="1">
      <alignment horizontal="center" vertical="center"/>
      <protection locked="0"/>
    </xf>
    <xf numFmtId="3" fontId="28" fillId="8" borderId="109" xfId="0" applyNumberFormat="1" applyFont="1" applyFill="1" applyBorder="1" applyAlignment="1" applyProtection="1">
      <alignment horizontal="center" vertical="center"/>
      <protection locked="0"/>
    </xf>
    <xf numFmtId="9" fontId="28" fillId="8" borderId="106" xfId="847" applyFont="1" applyFill="1" applyBorder="1" applyAlignment="1" applyProtection="1">
      <alignment horizontal="center" vertical="center"/>
      <protection locked="0"/>
    </xf>
    <xf numFmtId="3" fontId="28" fillId="8" borderId="79" xfId="0" applyNumberFormat="1" applyFont="1" applyFill="1" applyBorder="1" applyAlignment="1" applyProtection="1">
      <alignment horizontal="center" vertical="center"/>
      <protection locked="0"/>
    </xf>
    <xf numFmtId="3" fontId="28" fillId="8" borderId="55" xfId="0" applyNumberFormat="1" applyFont="1" applyFill="1" applyBorder="1" applyAlignment="1" applyProtection="1">
      <alignment horizontal="center" vertical="center"/>
      <protection locked="0"/>
    </xf>
    <xf numFmtId="3" fontId="28" fillId="8" borderId="110" xfId="0" applyNumberFormat="1" applyFont="1" applyFill="1" applyBorder="1" applyAlignment="1" applyProtection="1">
      <alignment horizontal="center" vertical="center"/>
      <protection locked="0"/>
    </xf>
    <xf numFmtId="3" fontId="28" fillId="8" borderId="118" xfId="0" applyNumberFormat="1" applyFont="1" applyFill="1" applyBorder="1" applyAlignment="1" applyProtection="1">
      <alignment horizontal="center" vertical="center"/>
      <protection locked="0"/>
    </xf>
    <xf numFmtId="3" fontId="28" fillId="8" borderId="129" xfId="0" applyNumberFormat="1" applyFont="1" applyFill="1" applyBorder="1" applyAlignment="1" applyProtection="1">
      <alignment horizontal="center" vertical="center"/>
      <protection locked="0"/>
    </xf>
    <xf numFmtId="3" fontId="28" fillId="8" borderId="50" xfId="0" applyNumberFormat="1" applyFont="1" applyFill="1" applyBorder="1" applyAlignment="1" applyProtection="1">
      <alignment horizontal="center" vertical="center"/>
      <protection locked="0"/>
    </xf>
    <xf numFmtId="3" fontId="28" fillId="8" borderId="130" xfId="0" applyNumberFormat="1" applyFont="1" applyFill="1" applyBorder="1" applyAlignment="1" applyProtection="1">
      <alignment horizontal="center" vertical="center"/>
      <protection locked="0"/>
    </xf>
    <xf numFmtId="9" fontId="28" fillId="8" borderId="60" xfId="847" applyFont="1" applyFill="1" applyBorder="1" applyAlignment="1" applyProtection="1">
      <alignment horizontal="center" vertical="center"/>
      <protection locked="0"/>
    </xf>
    <xf numFmtId="0" fontId="0" fillId="0" borderId="0" xfId="0" applyProtection="1"/>
    <xf numFmtId="0" fontId="0" fillId="0" borderId="0" xfId="0" applyAlignment="1" applyProtection="1">
      <alignment horizontal="center" vertical="center"/>
    </xf>
    <xf numFmtId="0" fontId="0" fillId="7" borderId="0" xfId="0" applyFill="1" applyBorder="1" applyAlignment="1" applyProtection="1"/>
    <xf numFmtId="0" fontId="0" fillId="7" borderId="0" xfId="0" applyFill="1" applyBorder="1" applyProtection="1"/>
    <xf numFmtId="0" fontId="0" fillId="10" borderId="14" xfId="0" applyFill="1" applyBorder="1" applyAlignment="1" applyProtection="1"/>
    <xf numFmtId="0" fontId="0" fillId="10" borderId="29" xfId="0" applyFill="1" applyBorder="1" applyAlignment="1" applyProtection="1"/>
    <xf numFmtId="0" fontId="0" fillId="10" borderId="29" xfId="0" applyFill="1" applyBorder="1" applyProtection="1"/>
    <xf numFmtId="0" fontId="0" fillId="10" borderId="30" xfId="0" applyFill="1" applyBorder="1" applyProtection="1"/>
    <xf numFmtId="0" fontId="37" fillId="7" borderId="0" xfId="0" applyFont="1" applyFill="1" applyBorder="1" applyProtection="1"/>
    <xf numFmtId="0" fontId="40" fillId="7" borderId="0" xfId="0" applyFont="1" applyFill="1" applyBorder="1" applyAlignment="1" applyProtection="1"/>
    <xf numFmtId="0" fontId="0" fillId="10" borderId="10" xfId="0" applyFill="1" applyBorder="1" applyAlignment="1" applyProtection="1"/>
    <xf numFmtId="0" fontId="0" fillId="10" borderId="32" xfId="0" applyFill="1" applyBorder="1" applyAlignment="1" applyProtection="1"/>
    <xf numFmtId="0" fontId="0" fillId="10" borderId="32" xfId="0" applyFill="1" applyBorder="1" applyProtection="1"/>
    <xf numFmtId="0" fontId="0" fillId="10" borderId="68" xfId="0" applyFill="1" applyBorder="1" applyProtection="1"/>
    <xf numFmtId="0" fontId="33" fillId="0" borderId="0" xfId="0" applyFont="1" applyAlignment="1" applyProtection="1">
      <alignment vertical="center"/>
    </xf>
    <xf numFmtId="0" fontId="7" fillId="5" borderId="9" xfId="380" applyFont="1" applyFill="1" applyBorder="1" applyAlignment="1" applyProtection="1">
      <alignment horizontal="center" vertical="center"/>
    </xf>
    <xf numFmtId="0" fontId="7" fillId="5" borderId="2" xfId="380" applyFont="1" applyFill="1" applyBorder="1" applyAlignment="1" applyProtection="1">
      <alignment horizontal="center" vertical="center"/>
    </xf>
    <xf numFmtId="0" fontId="51" fillId="5" borderId="2" xfId="0" applyFont="1" applyFill="1" applyBorder="1" applyProtection="1"/>
    <xf numFmtId="0" fontId="51" fillId="5" borderId="2" xfId="0" applyFont="1" applyFill="1" applyBorder="1" applyAlignment="1" applyProtection="1">
      <alignment horizontal="center" vertical="center"/>
    </xf>
    <xf numFmtId="0" fontId="51" fillId="5" borderId="12" xfId="0" applyFont="1" applyFill="1" applyBorder="1" applyProtection="1"/>
    <xf numFmtId="0" fontId="0" fillId="7" borderId="0" xfId="0" applyFill="1" applyBorder="1" applyAlignment="1" applyProtection="1">
      <alignment vertical="center"/>
    </xf>
    <xf numFmtId="0" fontId="0" fillId="7" borderId="0" xfId="0" applyFill="1" applyBorder="1" applyAlignment="1" applyProtection="1">
      <alignment vertical="center" wrapText="1"/>
    </xf>
    <xf numFmtId="0" fontId="26" fillId="7" borderId="0" xfId="0" applyFont="1" applyFill="1" applyBorder="1" applyAlignment="1" applyProtection="1">
      <alignment vertical="center" wrapText="1"/>
    </xf>
    <xf numFmtId="0" fontId="0" fillId="0" borderId="0" xfId="0" applyAlignment="1" applyProtection="1">
      <alignment vertical="center"/>
    </xf>
    <xf numFmtId="0" fontId="10" fillId="5" borderId="0" xfId="380" applyFont="1" applyFill="1" applyBorder="1" applyAlignment="1" applyProtection="1">
      <alignment horizontal="center" vertical="center" wrapText="1"/>
    </xf>
    <xf numFmtId="0" fontId="41" fillId="5" borderId="0" xfId="0" applyFont="1" applyFill="1" applyBorder="1" applyAlignment="1" applyProtection="1">
      <alignment vertical="center"/>
    </xf>
    <xf numFmtId="0" fontId="10" fillId="5" borderId="0" xfId="380" applyFont="1" applyFill="1" applyBorder="1" applyAlignment="1" applyProtection="1">
      <alignment vertical="center"/>
    </xf>
    <xf numFmtId="0" fontId="10" fillId="5" borderId="0" xfId="380" applyFont="1" applyFill="1" applyBorder="1" applyAlignment="1" applyProtection="1">
      <alignment horizontal="center" vertical="center"/>
    </xf>
    <xf numFmtId="0" fontId="53" fillId="7" borderId="0" xfId="0" applyFont="1" applyFill="1" applyBorder="1" applyAlignment="1" applyProtection="1">
      <alignment horizontal="left" vertical="top"/>
    </xf>
    <xf numFmtId="0" fontId="44" fillId="7" borderId="0" xfId="0" applyFont="1" applyFill="1" applyBorder="1" applyAlignment="1" applyProtection="1">
      <alignment horizontal="left" vertical="center" wrapText="1"/>
    </xf>
    <xf numFmtId="0" fontId="45" fillId="7" borderId="0" xfId="0" applyFont="1" applyFill="1" applyBorder="1" applyAlignment="1" applyProtection="1">
      <alignment vertical="center"/>
    </xf>
    <xf numFmtId="0" fontId="44" fillId="7" borderId="0" xfId="0" applyFont="1" applyFill="1" applyBorder="1" applyAlignment="1" applyProtection="1">
      <alignment vertical="center" wrapText="1"/>
    </xf>
    <xf numFmtId="0" fontId="26" fillId="7" borderId="0" xfId="0" applyFont="1" applyFill="1" applyAlignment="1" applyProtection="1">
      <alignment vertical="center" wrapText="1"/>
    </xf>
    <xf numFmtId="0" fontId="49" fillId="0" borderId="0" xfId="0" applyFont="1" applyFill="1" applyBorder="1" applyAlignment="1" applyProtection="1">
      <alignment horizontal="left" wrapText="1"/>
    </xf>
    <xf numFmtId="0" fontId="0" fillId="0" borderId="0" xfId="0" applyAlignment="1" applyProtection="1">
      <alignment vertical="center" wrapText="1"/>
    </xf>
    <xf numFmtId="0" fontId="18" fillId="0" borderId="0" xfId="0" applyFont="1" applyFill="1" applyBorder="1" applyAlignment="1" applyProtection="1">
      <alignment vertical="center"/>
    </xf>
    <xf numFmtId="0" fontId="18" fillId="0" borderId="0" xfId="0" applyFont="1" applyFill="1" applyBorder="1" applyAlignment="1" applyProtection="1">
      <alignment horizontal="center" vertical="center"/>
    </xf>
    <xf numFmtId="0" fontId="49" fillId="0" borderId="0" xfId="0" applyFont="1" applyFill="1" applyBorder="1" applyAlignment="1" applyProtection="1">
      <alignment horizontal="left" vertical="top" wrapText="1"/>
    </xf>
    <xf numFmtId="3" fontId="18" fillId="0" borderId="0" xfId="0" applyNumberFormat="1" applyFont="1" applyFill="1" applyBorder="1" applyAlignment="1" applyProtection="1">
      <alignment horizontal="center" vertical="top" wrapText="1"/>
    </xf>
    <xf numFmtId="9" fontId="18" fillId="0" borderId="0" xfId="847" applyFont="1" applyFill="1" applyBorder="1" applyAlignment="1" applyProtection="1">
      <alignment horizontal="center" vertical="top" wrapText="1"/>
    </xf>
    <xf numFmtId="0" fontId="18" fillId="0" borderId="0" xfId="0" applyFont="1" applyFill="1" applyBorder="1" applyAlignment="1" applyProtection="1">
      <alignment horizontal="center" vertical="center" wrapText="1"/>
    </xf>
    <xf numFmtId="1" fontId="18" fillId="0" borderId="0" xfId="0" applyNumberFormat="1" applyFont="1" applyFill="1" applyBorder="1" applyAlignment="1" applyProtection="1">
      <alignment horizontal="center" vertical="top" wrapText="1"/>
    </xf>
    <xf numFmtId="0" fontId="0" fillId="0" borderId="0" xfId="0" applyFill="1" applyBorder="1" applyAlignment="1" applyProtection="1">
      <alignment vertical="center" wrapText="1"/>
    </xf>
    <xf numFmtId="0" fontId="16" fillId="5" borderId="0" xfId="0" applyFont="1" applyFill="1" applyBorder="1" applyAlignment="1" applyProtection="1">
      <alignment vertical="center"/>
    </xf>
    <xf numFmtId="0" fontId="26" fillId="0" borderId="0" xfId="0" applyFont="1" applyAlignment="1" applyProtection="1">
      <alignment vertical="center" wrapText="1"/>
    </xf>
    <xf numFmtId="0" fontId="0" fillId="7" borderId="0" xfId="0" applyFill="1" applyAlignment="1" applyProtection="1">
      <alignment vertical="center"/>
    </xf>
    <xf numFmtId="0" fontId="16" fillId="7" borderId="0" xfId="0" applyFont="1" applyFill="1" applyBorder="1" applyAlignment="1" applyProtection="1">
      <alignment vertical="center"/>
    </xf>
    <xf numFmtId="0" fontId="0" fillId="0" borderId="0" xfId="0" applyFont="1" applyAlignment="1" applyProtection="1">
      <alignment vertical="center"/>
    </xf>
    <xf numFmtId="0" fontId="34" fillId="11" borderId="72" xfId="0" applyFont="1" applyFill="1" applyBorder="1" applyAlignment="1" applyProtection="1">
      <alignment horizontal="center" vertical="center" wrapText="1"/>
    </xf>
    <xf numFmtId="0" fontId="28" fillId="11" borderId="54" xfId="0" applyFont="1" applyFill="1" applyBorder="1" applyAlignment="1" applyProtection="1">
      <alignment horizontal="center" vertical="center" wrapText="1"/>
    </xf>
    <xf numFmtId="0" fontId="34" fillId="11" borderId="54" xfId="0" applyFont="1" applyFill="1" applyBorder="1" applyAlignment="1" applyProtection="1">
      <alignment horizontal="center" vertical="center"/>
    </xf>
    <xf numFmtId="0" fontId="34" fillId="11" borderId="59" xfId="0" applyFont="1" applyFill="1" applyBorder="1" applyAlignment="1" applyProtection="1">
      <alignment horizontal="center" vertical="center" wrapText="1"/>
    </xf>
    <xf numFmtId="0" fontId="47" fillId="34" borderId="0" xfId="0" applyFont="1" applyFill="1" applyAlignment="1" applyProtection="1">
      <alignment vertical="center"/>
    </xf>
    <xf numFmtId="0" fontId="78" fillId="35" borderId="72" xfId="0" applyFont="1" applyFill="1" applyBorder="1" applyAlignment="1" applyProtection="1">
      <alignment vertical="center" wrapText="1"/>
    </xf>
    <xf numFmtId="0" fontId="78" fillId="35" borderId="54" xfId="0" applyFont="1" applyFill="1" applyBorder="1" applyAlignment="1" applyProtection="1">
      <alignment vertical="center" wrapText="1"/>
    </xf>
    <xf numFmtId="0" fontId="78" fillId="35" borderId="59" xfId="0" applyFont="1" applyFill="1" applyBorder="1" applyAlignment="1" applyProtection="1">
      <alignment vertical="center" wrapText="1"/>
    </xf>
    <xf numFmtId="0" fontId="18" fillId="0" borderId="18" xfId="0" applyFont="1" applyFill="1" applyBorder="1" applyAlignment="1" applyProtection="1">
      <alignment vertical="center" wrapText="1"/>
    </xf>
    <xf numFmtId="0" fontId="18" fillId="0" borderId="24" xfId="0" applyFont="1" applyFill="1" applyBorder="1" applyAlignment="1" applyProtection="1">
      <alignment vertical="center" wrapText="1"/>
    </xf>
    <xf numFmtId="0" fontId="23" fillId="4" borderId="75" xfId="0" applyFont="1" applyFill="1" applyBorder="1" applyAlignment="1" applyProtection="1">
      <alignment vertical="center" wrapText="1"/>
    </xf>
    <xf numFmtId="0" fontId="23" fillId="4" borderId="66" xfId="0" applyFont="1" applyFill="1" applyBorder="1" applyAlignment="1" applyProtection="1">
      <alignment vertical="center" wrapText="1"/>
    </xf>
    <xf numFmtId="1" fontId="21" fillId="2" borderId="54" xfId="847" applyNumberFormat="1" applyFont="1" applyFill="1" applyBorder="1" applyAlignment="1" applyProtection="1">
      <alignment horizontal="center" vertical="center"/>
    </xf>
    <xf numFmtId="1" fontId="21" fillId="2" borderId="52" xfId="847" applyNumberFormat="1" applyFont="1" applyFill="1" applyBorder="1" applyAlignment="1" applyProtection="1">
      <alignment horizontal="center" vertical="center"/>
    </xf>
    <xf numFmtId="1" fontId="21" fillId="2" borderId="120" xfId="847" applyNumberFormat="1" applyFont="1" applyFill="1" applyBorder="1" applyAlignment="1" applyProtection="1">
      <alignment horizontal="center" vertical="center"/>
    </xf>
    <xf numFmtId="0" fontId="28" fillId="5" borderId="52" xfId="0" applyFont="1" applyFill="1" applyBorder="1" applyAlignment="1" applyProtection="1">
      <alignment horizontal="center" vertical="center"/>
    </xf>
    <xf numFmtId="3" fontId="26" fillId="5" borderId="44" xfId="1" applyNumberFormat="1" applyFont="1" applyFill="1" applyBorder="1" applyAlignment="1" applyProtection="1">
      <alignment vertical="center" wrapText="1"/>
    </xf>
    <xf numFmtId="0" fontId="16" fillId="0" borderId="114" xfId="0" applyFont="1" applyFill="1" applyBorder="1" applyAlignment="1" applyProtection="1">
      <alignment vertical="center" wrapText="1"/>
    </xf>
    <xf numFmtId="0" fontId="16" fillId="0" borderId="30" xfId="0" applyFont="1" applyFill="1" applyBorder="1" applyAlignment="1" applyProtection="1">
      <alignment vertical="center" wrapText="1"/>
    </xf>
    <xf numFmtId="3" fontId="18" fillId="0" borderId="121" xfId="1" applyNumberFormat="1" applyFont="1" applyBorder="1" applyAlignment="1" applyProtection="1">
      <alignment horizontal="center" vertical="center"/>
    </xf>
    <xf numFmtId="3" fontId="18" fillId="0" borderId="1" xfId="1" applyNumberFormat="1" applyFont="1" applyBorder="1" applyAlignment="1" applyProtection="1">
      <alignment horizontal="center" vertical="center"/>
    </xf>
    <xf numFmtId="3" fontId="47" fillId="0" borderId="37" xfId="1" applyNumberFormat="1" applyFont="1" applyBorder="1" applyAlignment="1" applyProtection="1">
      <alignment horizontal="center" vertical="center"/>
    </xf>
    <xf numFmtId="0" fontId="0" fillId="5" borderId="0" xfId="0" applyFill="1" applyBorder="1" applyAlignment="1" applyProtection="1">
      <alignment vertical="center"/>
    </xf>
    <xf numFmtId="3" fontId="0" fillId="5" borderId="54" xfId="0" applyNumberFormat="1" applyFill="1" applyBorder="1" applyAlignment="1" applyProtection="1">
      <alignment horizontal="center" vertical="center"/>
    </xf>
    <xf numFmtId="0" fontId="26" fillId="5" borderId="50" xfId="0" applyFont="1" applyFill="1" applyBorder="1" applyAlignment="1" applyProtection="1">
      <alignment vertical="center" wrapText="1"/>
    </xf>
    <xf numFmtId="0" fontId="16" fillId="0" borderId="112" xfId="0" applyFont="1" applyFill="1" applyBorder="1" applyAlignment="1" applyProtection="1">
      <alignment vertical="center" wrapText="1"/>
    </xf>
    <xf numFmtId="0" fontId="16" fillId="0" borderId="119" xfId="0" applyFont="1" applyFill="1" applyBorder="1" applyAlignment="1" applyProtection="1">
      <alignment vertical="center" wrapText="1"/>
    </xf>
    <xf numFmtId="3" fontId="25" fillId="0" borderId="33" xfId="1" applyNumberFormat="1" applyFont="1" applyBorder="1" applyAlignment="1" applyProtection="1">
      <alignment horizontal="center" vertical="center"/>
    </xf>
    <xf numFmtId="3" fontId="18" fillId="0" borderId="33" xfId="1" applyNumberFormat="1" applyFont="1" applyBorder="1" applyAlignment="1" applyProtection="1">
      <alignment horizontal="center" vertical="center"/>
    </xf>
    <xf numFmtId="3" fontId="47" fillId="0" borderId="47" xfId="1" applyNumberFormat="1" applyFont="1" applyBorder="1" applyAlignment="1" applyProtection="1">
      <alignment horizontal="center" vertical="center"/>
    </xf>
    <xf numFmtId="3" fontId="17" fillId="0" borderId="0" xfId="1" applyNumberFormat="1" applyFont="1" applyBorder="1" applyAlignment="1" applyProtection="1">
      <alignment horizontal="center" vertical="center"/>
    </xf>
    <xf numFmtId="0" fontId="16" fillId="0" borderId="76" xfId="0" applyFont="1" applyFill="1" applyBorder="1" applyAlignment="1" applyProtection="1">
      <alignment vertical="center" wrapText="1"/>
    </xf>
    <xf numFmtId="0" fontId="16" fillId="0" borderId="53" xfId="0" applyFont="1" applyFill="1" applyBorder="1" applyAlignment="1" applyProtection="1">
      <alignment vertical="center" wrapText="1"/>
    </xf>
    <xf numFmtId="3" fontId="25" fillId="5" borderId="3" xfId="1" applyNumberFormat="1" applyFont="1" applyFill="1" applyBorder="1" applyAlignment="1" applyProtection="1">
      <alignment horizontal="center" vertical="center"/>
    </xf>
    <xf numFmtId="3" fontId="18" fillId="5" borderId="3" xfId="1" applyNumberFormat="1" applyFont="1" applyFill="1" applyBorder="1" applyAlignment="1" applyProtection="1">
      <alignment horizontal="center" vertical="center"/>
    </xf>
    <xf numFmtId="3" fontId="17" fillId="0" borderId="56" xfId="1" applyNumberFormat="1" applyFont="1" applyBorder="1" applyAlignment="1" applyProtection="1">
      <alignment horizontal="center" vertical="center"/>
    </xf>
    <xf numFmtId="0" fontId="28" fillId="5" borderId="53" xfId="0" applyFont="1" applyFill="1" applyBorder="1" applyAlignment="1" applyProtection="1">
      <alignment horizontal="center" vertical="center"/>
    </xf>
    <xf numFmtId="3" fontId="26" fillId="5" borderId="43" xfId="1" applyNumberFormat="1" applyFont="1" applyFill="1" applyBorder="1" applyAlignment="1" applyProtection="1">
      <alignment vertical="center" wrapText="1"/>
    </xf>
    <xf numFmtId="167" fontId="12" fillId="0" borderId="0" xfId="1" applyNumberFormat="1" applyFont="1" applyAlignment="1" applyProtection="1">
      <alignment horizontal="center" vertical="center"/>
    </xf>
    <xf numFmtId="3" fontId="0" fillId="7" borderId="0" xfId="0" applyNumberFormat="1" applyFill="1" applyBorder="1" applyAlignment="1" applyProtection="1">
      <alignment vertical="center"/>
    </xf>
    <xf numFmtId="0" fontId="18" fillId="0" borderId="20" xfId="0" applyFont="1" applyFill="1" applyBorder="1" applyAlignment="1" applyProtection="1">
      <alignment vertical="center" wrapText="1"/>
    </xf>
    <xf numFmtId="0" fontId="18" fillId="0" borderId="25" xfId="0" applyFont="1" applyFill="1" applyBorder="1" applyAlignment="1" applyProtection="1">
      <alignment vertical="center" wrapText="1"/>
    </xf>
    <xf numFmtId="0" fontId="26" fillId="0" borderId="112" xfId="0" applyFont="1" applyFill="1" applyBorder="1" applyAlignment="1" applyProtection="1">
      <alignment horizontal="center" vertical="center" wrapText="1"/>
    </xf>
    <xf numFmtId="0" fontId="26" fillId="0" borderId="33" xfId="0" applyFont="1" applyFill="1" applyBorder="1" applyAlignment="1" applyProtection="1">
      <alignment horizontal="center" vertical="center" wrapText="1"/>
    </xf>
    <xf numFmtId="0" fontId="26" fillId="0" borderId="113" xfId="0" applyFont="1" applyFill="1" applyBorder="1" applyAlignment="1" applyProtection="1">
      <alignment horizontal="center" vertical="center" wrapText="1"/>
    </xf>
    <xf numFmtId="9" fontId="0" fillId="0" borderId="0" xfId="0" applyNumberFormat="1" applyAlignment="1" applyProtection="1">
      <alignment horizontal="center" vertical="center"/>
    </xf>
    <xf numFmtId="1" fontId="17" fillId="2" borderId="5" xfId="847" applyNumberFormat="1" applyFont="1" applyFill="1" applyBorder="1" applyAlignment="1" applyProtection="1">
      <alignment horizontal="center" vertical="center"/>
    </xf>
    <xf numFmtId="1" fontId="17" fillId="2" borderId="46" xfId="847" applyNumberFormat="1" applyFont="1" applyFill="1" applyBorder="1" applyAlignment="1" applyProtection="1">
      <alignment horizontal="center" vertical="center"/>
    </xf>
    <xf numFmtId="0" fontId="16" fillId="0" borderId="116" xfId="0" applyFont="1" applyFill="1" applyBorder="1" applyAlignment="1" applyProtection="1">
      <alignment vertical="center" wrapText="1"/>
    </xf>
    <xf numFmtId="0" fontId="16" fillId="0" borderId="8" xfId="0" applyFont="1" applyFill="1" applyBorder="1" applyAlignment="1" applyProtection="1">
      <alignment vertical="center" wrapText="1"/>
    </xf>
    <xf numFmtId="169" fontId="16" fillId="0" borderId="0" xfId="1" applyNumberFormat="1" applyFont="1" applyBorder="1" applyAlignment="1" applyProtection="1">
      <alignment horizontal="center" vertical="center"/>
    </xf>
    <xf numFmtId="169" fontId="19" fillId="0" borderId="28" xfId="1" applyNumberFormat="1" applyFont="1" applyBorder="1" applyAlignment="1" applyProtection="1">
      <alignment horizontal="center" vertical="center"/>
    </xf>
    <xf numFmtId="169" fontId="0" fillId="5" borderId="0" xfId="0" applyNumberFormat="1" applyFill="1" applyBorder="1" applyAlignment="1" applyProtection="1">
      <alignment horizontal="center" vertical="center"/>
    </xf>
    <xf numFmtId="169" fontId="16" fillId="0" borderId="33" xfId="1" quotePrefix="1" applyNumberFormat="1" applyFont="1" applyBorder="1" applyAlignment="1" applyProtection="1">
      <alignment horizontal="center" vertical="center"/>
    </xf>
    <xf numFmtId="169" fontId="16" fillId="0" borderId="47" xfId="1" quotePrefix="1" applyNumberFormat="1" applyFont="1" applyBorder="1" applyAlignment="1" applyProtection="1">
      <alignment horizontal="center" vertical="center"/>
    </xf>
    <xf numFmtId="169" fontId="26" fillId="5" borderId="50" xfId="0" applyNumberFormat="1" applyFont="1" applyFill="1" applyBorder="1" applyAlignment="1" applyProtection="1">
      <alignment vertical="center" wrapText="1"/>
    </xf>
    <xf numFmtId="169" fontId="16" fillId="0" borderId="3" xfId="1" quotePrefix="1" applyNumberFormat="1" applyFont="1" applyBorder="1" applyAlignment="1" applyProtection="1">
      <alignment horizontal="center" vertical="center"/>
    </xf>
    <xf numFmtId="169" fontId="18" fillId="0" borderId="3" xfId="1" applyNumberFormat="1" applyFont="1" applyBorder="1" applyAlignment="1" applyProtection="1">
      <alignment horizontal="center" vertical="center"/>
    </xf>
    <xf numFmtId="169" fontId="17" fillId="0" borderId="56" xfId="1" applyNumberFormat="1" applyFont="1" applyBorder="1" applyAlignment="1" applyProtection="1">
      <alignment horizontal="center" vertical="center"/>
    </xf>
    <xf numFmtId="0" fontId="0" fillId="5" borderId="3" xfId="0" applyFill="1" applyBorder="1" applyAlignment="1" applyProtection="1">
      <alignment vertical="center"/>
    </xf>
    <xf numFmtId="169" fontId="17" fillId="0" borderId="3" xfId="1" applyNumberFormat="1" applyFont="1" applyBorder="1" applyAlignment="1" applyProtection="1">
      <alignment horizontal="center" vertical="center"/>
    </xf>
    <xf numFmtId="0" fontId="26" fillId="5" borderId="43" xfId="0" applyFont="1" applyFill="1" applyBorder="1" applyAlignment="1" applyProtection="1">
      <alignment vertical="center" wrapText="1"/>
    </xf>
    <xf numFmtId="1" fontId="17" fillId="2" borderId="4" xfId="847" applyNumberFormat="1" applyFont="1" applyFill="1" applyBorder="1" applyAlignment="1" applyProtection="1">
      <alignment horizontal="center" vertical="center"/>
    </xf>
    <xf numFmtId="1" fontId="17" fillId="2" borderId="32" xfId="847" applyNumberFormat="1" applyFont="1" applyFill="1" applyBorder="1" applyAlignment="1" applyProtection="1">
      <alignment horizontal="center" vertical="center"/>
    </xf>
    <xf numFmtId="1" fontId="17" fillId="2" borderId="86" xfId="847" applyNumberFormat="1" applyFont="1" applyFill="1" applyBorder="1" applyAlignment="1" applyProtection="1">
      <alignment horizontal="center" vertical="center"/>
    </xf>
    <xf numFmtId="0" fontId="0" fillId="5" borderId="101" xfId="0" applyFill="1" applyBorder="1" applyAlignment="1" applyProtection="1">
      <alignment vertical="center"/>
    </xf>
    <xf numFmtId="3" fontId="26" fillId="5" borderId="100" xfId="1" applyNumberFormat="1" applyFont="1" applyFill="1" applyBorder="1" applyAlignment="1" applyProtection="1">
      <alignment vertical="center" wrapText="1"/>
    </xf>
    <xf numFmtId="0" fontId="0" fillId="7" borderId="50" xfId="0" applyFill="1" applyBorder="1" applyAlignment="1" applyProtection="1">
      <alignment vertical="center"/>
    </xf>
    <xf numFmtId="0" fontId="16" fillId="0" borderId="122" xfId="0" applyFont="1" applyFill="1" applyBorder="1" applyAlignment="1" applyProtection="1">
      <alignment vertical="center" wrapText="1"/>
    </xf>
    <xf numFmtId="0" fontId="16" fillId="0" borderId="123" xfId="0" applyFont="1" applyFill="1" applyBorder="1" applyAlignment="1" applyProtection="1">
      <alignment vertical="center" wrapText="1"/>
    </xf>
    <xf numFmtId="169" fontId="16" fillId="0" borderId="7" xfId="1" quotePrefix="1" applyNumberFormat="1" applyFont="1" applyBorder="1" applyAlignment="1" applyProtection="1">
      <alignment horizontal="center" vertical="center"/>
    </xf>
    <xf numFmtId="169" fontId="16" fillId="0" borderId="1" xfId="1" quotePrefix="1" applyNumberFormat="1" applyFont="1" applyBorder="1" applyAlignment="1" applyProtection="1">
      <alignment horizontal="center" vertical="center"/>
    </xf>
    <xf numFmtId="169" fontId="16" fillId="0" borderId="0" xfId="1" quotePrefix="1" applyNumberFormat="1" applyFont="1" applyBorder="1" applyAlignment="1" applyProtection="1">
      <alignment horizontal="center" vertical="center"/>
    </xf>
    <xf numFmtId="169" fontId="16" fillId="0" borderId="48" xfId="1" quotePrefix="1" applyNumberFormat="1" applyFont="1" applyBorder="1" applyAlignment="1" applyProtection="1">
      <alignment horizontal="center" vertical="center"/>
    </xf>
    <xf numFmtId="169" fontId="18" fillId="0" borderId="49" xfId="1" applyNumberFormat="1" applyFont="1" applyBorder="1" applyAlignment="1" applyProtection="1">
      <alignment horizontal="center" vertical="center"/>
    </xf>
    <xf numFmtId="169" fontId="17" fillId="0" borderId="38" xfId="1" applyNumberFormat="1" applyFont="1" applyBorder="1" applyAlignment="1" applyProtection="1">
      <alignment horizontal="center" vertical="center"/>
    </xf>
    <xf numFmtId="0" fontId="0" fillId="7" borderId="61" xfId="0" applyFill="1" applyBorder="1" applyAlignment="1" applyProtection="1">
      <alignment vertical="center" wrapText="1"/>
    </xf>
    <xf numFmtId="0" fontId="0" fillId="7" borderId="61" xfId="0" applyFill="1" applyBorder="1" applyAlignment="1" applyProtection="1">
      <alignment vertical="center"/>
    </xf>
    <xf numFmtId="0" fontId="0" fillId="7" borderId="61" xfId="0" applyFont="1" applyFill="1" applyBorder="1" applyAlignment="1" applyProtection="1">
      <alignment vertical="center"/>
    </xf>
    <xf numFmtId="0" fontId="0" fillId="7" borderId="0" xfId="0" applyFont="1" applyFill="1" applyBorder="1" applyAlignment="1" applyProtection="1">
      <alignment vertical="center"/>
    </xf>
    <xf numFmtId="0" fontId="26" fillId="7" borderId="61" xfId="0" applyFont="1" applyFill="1" applyBorder="1" applyAlignment="1" applyProtection="1">
      <alignment vertical="center" wrapText="1"/>
    </xf>
    <xf numFmtId="0" fontId="0" fillId="5" borderId="54" xfId="0" applyFill="1" applyBorder="1" applyAlignment="1" applyProtection="1">
      <alignment vertical="center"/>
    </xf>
    <xf numFmtId="0" fontId="16" fillId="0" borderId="26" xfId="0" applyFont="1" applyFill="1" applyBorder="1" applyAlignment="1" applyProtection="1">
      <alignment vertical="center" wrapText="1"/>
    </xf>
    <xf numFmtId="0" fontId="16" fillId="0" borderId="124" xfId="0" applyFont="1" applyFill="1" applyBorder="1" applyAlignment="1" applyProtection="1">
      <alignment vertical="center" wrapText="1"/>
    </xf>
    <xf numFmtId="3" fontId="16" fillId="0" borderId="6" xfId="1" applyNumberFormat="1" applyFont="1" applyBorder="1" applyAlignment="1" applyProtection="1">
      <alignment horizontal="center" vertical="center"/>
    </xf>
    <xf numFmtId="3" fontId="16" fillId="0" borderId="1" xfId="1" applyNumberFormat="1" applyFont="1" applyBorder="1" applyAlignment="1" applyProtection="1">
      <alignment horizontal="center" vertical="center"/>
    </xf>
    <xf numFmtId="3" fontId="19" fillId="0" borderId="37" xfId="1" applyNumberFormat="1" applyFont="1" applyBorder="1" applyAlignment="1" applyProtection="1">
      <alignment horizontal="center" vertical="center"/>
    </xf>
    <xf numFmtId="3" fontId="0" fillId="5" borderId="0" xfId="0" applyNumberFormat="1" applyFill="1" applyBorder="1" applyAlignment="1" applyProtection="1">
      <alignment horizontal="center" vertical="center"/>
    </xf>
    <xf numFmtId="0" fontId="16" fillId="0" borderId="126" xfId="0" applyFont="1" applyFill="1" applyBorder="1" applyAlignment="1" applyProtection="1">
      <alignment vertical="center" wrapText="1"/>
    </xf>
    <xf numFmtId="0" fontId="16" fillId="0" borderId="127" xfId="0" applyFont="1" applyFill="1" applyBorder="1" applyAlignment="1" applyProtection="1">
      <alignment vertical="center" wrapText="1"/>
    </xf>
    <xf numFmtId="3" fontId="16" fillId="0" borderId="22" xfId="1" applyNumberFormat="1" applyFont="1" applyBorder="1" applyAlignment="1" applyProtection="1">
      <alignment horizontal="center" vertical="center"/>
    </xf>
    <xf numFmtId="3" fontId="18" fillId="0" borderId="34" xfId="1" applyNumberFormat="1" applyFont="1" applyBorder="1" applyAlignment="1" applyProtection="1">
      <alignment horizontal="center" vertical="center"/>
    </xf>
    <xf numFmtId="3" fontId="18" fillId="0" borderId="21" xfId="1" applyNumberFormat="1" applyFont="1" applyBorder="1" applyAlignment="1" applyProtection="1">
      <alignment horizontal="center" vertical="center"/>
    </xf>
    <xf numFmtId="3" fontId="18" fillId="0" borderId="86" xfId="1" applyNumberFormat="1" applyFont="1" applyBorder="1" applyAlignment="1" applyProtection="1">
      <alignment horizontal="center" vertical="center"/>
    </xf>
    <xf numFmtId="3" fontId="18" fillId="0" borderId="3" xfId="1" applyNumberFormat="1" applyFont="1" applyBorder="1" applyAlignment="1" applyProtection="1">
      <alignment horizontal="center" vertical="center"/>
    </xf>
    <xf numFmtId="3" fontId="16" fillId="5" borderId="6" xfId="1" applyNumberFormat="1" applyFont="1" applyFill="1" applyBorder="1" applyAlignment="1" applyProtection="1">
      <alignment horizontal="center" vertical="center"/>
    </xf>
    <xf numFmtId="3" fontId="16" fillId="5" borderId="123" xfId="1" applyNumberFormat="1" applyFont="1" applyFill="1" applyBorder="1" applyAlignment="1" applyProtection="1">
      <alignment horizontal="center" vertical="center"/>
    </xf>
    <xf numFmtId="3" fontId="19" fillId="0" borderId="35" xfId="1" applyNumberFormat="1" applyFont="1" applyBorder="1" applyAlignment="1" applyProtection="1">
      <alignment horizontal="center" vertical="center"/>
    </xf>
    <xf numFmtId="3" fontId="26" fillId="5" borderId="42" xfId="1" applyNumberFormat="1" applyFont="1" applyFill="1" applyBorder="1" applyAlignment="1" applyProtection="1">
      <alignment vertical="center" wrapText="1"/>
    </xf>
    <xf numFmtId="3" fontId="16" fillId="5" borderId="49" xfId="1" applyNumberFormat="1" applyFont="1" applyFill="1" applyBorder="1" applyAlignment="1" applyProtection="1">
      <alignment horizontal="center" vertical="center"/>
    </xf>
    <xf numFmtId="3" fontId="19" fillId="0" borderId="38" xfId="1" applyNumberFormat="1" applyFont="1" applyBorder="1" applyAlignment="1" applyProtection="1">
      <alignment horizontal="center" vertical="center"/>
    </xf>
    <xf numFmtId="164" fontId="17" fillId="2" borderId="4" xfId="847" applyNumberFormat="1" applyFont="1" applyFill="1" applyBorder="1" applyAlignment="1" applyProtection="1">
      <alignment horizontal="center" vertical="center"/>
    </xf>
    <xf numFmtId="164" fontId="17" fillId="2" borderId="5" xfId="847" applyNumberFormat="1" applyFont="1" applyFill="1" applyBorder="1" applyAlignment="1" applyProtection="1">
      <alignment horizontal="center" vertical="center"/>
    </xf>
    <xf numFmtId="164" fontId="17" fillId="2" borderId="46" xfId="847" applyNumberFormat="1" applyFont="1" applyFill="1" applyBorder="1" applyAlignment="1" applyProtection="1">
      <alignment horizontal="center" vertical="center"/>
    </xf>
    <xf numFmtId="0" fontId="23" fillId="4" borderId="76" xfId="0" applyFont="1" applyFill="1" applyBorder="1" applyAlignment="1" applyProtection="1">
      <alignment vertical="center" wrapText="1"/>
    </xf>
    <xf numFmtId="0" fontId="23" fillId="4" borderId="53" xfId="0" applyFont="1" applyFill="1" applyBorder="1" applyAlignment="1" applyProtection="1">
      <alignment vertical="center" wrapText="1"/>
    </xf>
    <xf numFmtId="1" fontId="17" fillId="7" borderId="15" xfId="847" applyNumberFormat="1" applyFont="1" applyFill="1" applyBorder="1" applyAlignment="1" applyProtection="1">
      <alignment horizontal="center" vertical="center"/>
    </xf>
    <xf numFmtId="1" fontId="17" fillId="7" borderId="39" xfId="847" applyNumberFormat="1" applyFont="1" applyFill="1" applyBorder="1" applyAlignment="1" applyProtection="1">
      <alignment horizontal="center" vertical="center"/>
    </xf>
    <xf numFmtId="1" fontId="17" fillId="2" borderId="45" xfId="847" applyNumberFormat="1" applyFont="1" applyFill="1" applyBorder="1" applyAlignment="1" applyProtection="1">
      <alignment horizontal="center" vertical="center"/>
    </xf>
    <xf numFmtId="1" fontId="21" fillId="2" borderId="5" xfId="847" applyNumberFormat="1" applyFont="1" applyFill="1" applyBorder="1" applyAlignment="1" applyProtection="1">
      <alignment horizontal="center" vertical="center"/>
    </xf>
    <xf numFmtId="1" fontId="21" fillId="2" borderId="46" xfId="847" applyNumberFormat="1" applyFont="1" applyFill="1" applyBorder="1" applyAlignment="1" applyProtection="1">
      <alignment horizontal="center" vertical="center"/>
    </xf>
    <xf numFmtId="0" fontId="16" fillId="0" borderId="76" xfId="0" applyFont="1" applyBorder="1" applyAlignment="1" applyProtection="1">
      <alignment vertical="center" wrapText="1"/>
    </xf>
    <xf numFmtId="0" fontId="16" fillId="0" borderId="53" xfId="0" applyFont="1" applyBorder="1" applyAlignment="1" applyProtection="1">
      <alignment vertical="center" wrapText="1"/>
    </xf>
    <xf numFmtId="3" fontId="24" fillId="0" borderId="45" xfId="1" applyNumberFormat="1" applyFont="1" applyFill="1" applyBorder="1" applyAlignment="1" applyProtection="1">
      <alignment horizontal="center" vertical="center"/>
    </xf>
    <xf numFmtId="0" fontId="16" fillId="0" borderId="102" xfId="0" applyFont="1" applyBorder="1" applyAlignment="1" applyProtection="1">
      <alignment vertical="center" wrapText="1"/>
    </xf>
    <xf numFmtId="0" fontId="23" fillId="4" borderId="75" xfId="0" applyFont="1" applyFill="1" applyBorder="1" applyAlignment="1" applyProtection="1">
      <alignment vertical="center"/>
    </xf>
    <xf numFmtId="3" fontId="0" fillId="5" borderId="54" xfId="0" applyNumberFormat="1" applyFill="1" applyBorder="1" applyAlignment="1" applyProtection="1">
      <alignment vertical="center"/>
    </xf>
    <xf numFmtId="0" fontId="26" fillId="5" borderId="59" xfId="0" applyFont="1" applyFill="1" applyBorder="1" applyAlignment="1" applyProtection="1">
      <alignment vertical="center"/>
    </xf>
    <xf numFmtId="0" fontId="16" fillId="0" borderId="122" xfId="0" applyFont="1" applyBorder="1" applyAlignment="1" applyProtection="1">
      <alignment vertical="center" wrapText="1"/>
    </xf>
    <xf numFmtId="0" fontId="16" fillId="0" borderId="123" xfId="0" applyFont="1" applyBorder="1" applyAlignment="1" applyProtection="1">
      <alignment vertical="center" wrapText="1"/>
    </xf>
    <xf numFmtId="3" fontId="0" fillId="5" borderId="0" xfId="0" applyNumberFormat="1" applyFill="1" applyBorder="1" applyAlignment="1" applyProtection="1">
      <alignment vertical="center"/>
    </xf>
    <xf numFmtId="0" fontId="16" fillId="0" borderId="114" xfId="0" applyFont="1" applyBorder="1" applyAlignment="1" applyProtection="1">
      <alignment vertical="center" wrapText="1"/>
    </xf>
    <xf numFmtId="0" fontId="16" fillId="0" borderId="8" xfId="0" applyFont="1" applyBorder="1" applyAlignment="1" applyProtection="1">
      <alignment vertical="center" wrapText="1"/>
    </xf>
    <xf numFmtId="3" fontId="16" fillId="0" borderId="0" xfId="1" applyNumberFormat="1" applyFont="1" applyBorder="1" applyAlignment="1" applyProtection="1">
      <alignment horizontal="center" vertical="center"/>
    </xf>
    <xf numFmtId="3" fontId="19" fillId="0" borderId="28" xfId="1" applyNumberFormat="1" applyFont="1" applyBorder="1" applyAlignment="1" applyProtection="1">
      <alignment horizontal="center" vertical="center"/>
    </xf>
    <xf numFmtId="0" fontId="16" fillId="0" borderId="116" xfId="0" applyFont="1" applyBorder="1" applyAlignment="1" applyProtection="1">
      <alignment vertical="center" wrapText="1"/>
    </xf>
    <xf numFmtId="0" fontId="0" fillId="5" borderId="29" xfId="0" applyFill="1" applyBorder="1" applyAlignment="1" applyProtection="1">
      <alignment vertical="center"/>
    </xf>
    <xf numFmtId="0" fontId="16" fillId="5" borderId="29" xfId="0" applyFont="1" applyFill="1" applyBorder="1" applyAlignment="1" applyProtection="1">
      <alignment vertical="center" wrapText="1"/>
    </xf>
    <xf numFmtId="0" fontId="0" fillId="5" borderId="30" xfId="0" applyFill="1" applyBorder="1" applyAlignment="1" applyProtection="1">
      <alignment vertical="center"/>
    </xf>
    <xf numFmtId="3" fontId="19" fillId="0" borderId="55" xfId="1" applyNumberFormat="1" applyFont="1" applyFill="1" applyBorder="1" applyAlignment="1" applyProtection="1">
      <alignment horizontal="center" vertical="center"/>
    </xf>
    <xf numFmtId="3" fontId="26" fillId="5" borderId="78" xfId="1" applyNumberFormat="1" applyFont="1" applyFill="1" applyBorder="1" applyAlignment="1" applyProtection="1">
      <alignment vertical="center" wrapText="1"/>
    </xf>
    <xf numFmtId="0" fontId="29" fillId="0" borderId="112" xfId="0" applyFont="1" applyFill="1" applyBorder="1" applyAlignment="1" applyProtection="1">
      <alignment vertical="center" wrapText="1"/>
    </xf>
    <xf numFmtId="0" fontId="29" fillId="0" borderId="119" xfId="0" applyFont="1" applyFill="1" applyBorder="1" applyAlignment="1" applyProtection="1">
      <alignment vertical="center" wrapText="1"/>
    </xf>
    <xf numFmtId="164" fontId="17" fillId="2" borderId="33" xfId="847" applyNumberFormat="1" applyFont="1" applyFill="1" applyBorder="1" applyAlignment="1" applyProtection="1">
      <alignment horizontal="center" vertical="center"/>
    </xf>
    <xf numFmtId="164" fontId="17" fillId="2" borderId="47" xfId="847" applyNumberFormat="1" applyFont="1" applyFill="1" applyBorder="1" applyAlignment="1" applyProtection="1">
      <alignment horizontal="center" vertical="center"/>
    </xf>
    <xf numFmtId="3" fontId="26" fillId="5" borderId="41" xfId="1" applyNumberFormat="1" applyFont="1" applyFill="1" applyBorder="1" applyAlignment="1" applyProtection="1">
      <alignment vertical="center" wrapText="1"/>
    </xf>
    <xf numFmtId="0" fontId="16" fillId="0" borderId="112" xfId="0" applyFont="1" applyBorder="1" applyAlignment="1" applyProtection="1">
      <alignment vertical="center" wrapText="1"/>
    </xf>
    <xf numFmtId="0" fontId="16" fillId="5" borderId="33" xfId="0" applyFont="1" applyFill="1" applyBorder="1" applyAlignment="1" applyProtection="1">
      <alignment vertical="center" wrapText="1"/>
    </xf>
    <xf numFmtId="3" fontId="19" fillId="0" borderId="47" xfId="1" applyNumberFormat="1" applyFont="1" applyFill="1" applyBorder="1" applyAlignment="1" applyProtection="1">
      <alignment horizontal="center" vertical="center"/>
    </xf>
    <xf numFmtId="0" fontId="16" fillId="0" borderId="115" xfId="0" applyFont="1" applyBorder="1" applyAlignment="1" applyProtection="1">
      <alignment vertical="center" wrapText="1"/>
    </xf>
    <xf numFmtId="0" fontId="16" fillId="0" borderId="117" xfId="0" applyFont="1" applyBorder="1" applyAlignment="1" applyProtection="1">
      <alignment vertical="center" wrapText="1"/>
    </xf>
    <xf numFmtId="37" fontId="25" fillId="5" borderId="49" xfId="1" applyNumberFormat="1" applyFont="1" applyFill="1" applyBorder="1" applyAlignment="1" applyProtection="1">
      <alignment horizontal="center" vertical="center"/>
    </xf>
    <xf numFmtId="165" fontId="16" fillId="5" borderId="49" xfId="1" applyNumberFormat="1" applyFont="1" applyFill="1" applyBorder="1" applyAlignment="1" applyProtection="1">
      <alignment horizontal="center" vertical="center"/>
    </xf>
    <xf numFmtId="165" fontId="19" fillId="0" borderId="38" xfId="1" applyNumberFormat="1" applyFont="1" applyBorder="1" applyAlignment="1" applyProtection="1">
      <alignment horizontal="center" vertical="center"/>
    </xf>
    <xf numFmtId="3" fontId="19" fillId="0" borderId="55" xfId="1" applyNumberFormat="1" applyFont="1" applyBorder="1" applyAlignment="1" applyProtection="1">
      <alignment horizontal="center" vertical="center"/>
    </xf>
    <xf numFmtId="0" fontId="0" fillId="5" borderId="49" xfId="0" applyFill="1" applyBorder="1" applyAlignment="1" applyProtection="1">
      <alignment vertical="center"/>
    </xf>
    <xf numFmtId="3" fontId="19" fillId="0" borderId="38" xfId="1" applyNumberFormat="1" applyFont="1" applyFill="1" applyBorder="1" applyAlignment="1" applyProtection="1">
      <alignment horizontal="center" vertical="center"/>
    </xf>
    <xf numFmtId="3" fontId="26" fillId="5" borderId="51" xfId="1" applyNumberFormat="1" applyFont="1" applyFill="1" applyBorder="1" applyAlignment="1" applyProtection="1">
      <alignment vertical="center" wrapText="1"/>
    </xf>
    <xf numFmtId="0" fontId="24" fillId="4" borderId="75" xfId="0" applyFont="1" applyFill="1" applyBorder="1" applyAlignment="1" applyProtection="1">
      <alignment horizontal="left" vertical="center"/>
    </xf>
    <xf numFmtId="0" fontId="24" fillId="4" borderId="66" xfId="0" applyFont="1" applyFill="1" applyBorder="1" applyAlignment="1" applyProtection="1">
      <alignment horizontal="left" vertical="center" wrapText="1"/>
    </xf>
    <xf numFmtId="1" fontId="24" fillId="4" borderId="5" xfId="0" applyNumberFormat="1" applyFont="1" applyFill="1" applyBorder="1" applyAlignment="1" applyProtection="1">
      <alignment horizontal="center" vertical="center" wrapText="1"/>
    </xf>
    <xf numFmtId="0" fontId="24" fillId="4" borderId="5" xfId="0" applyFont="1" applyFill="1" applyBorder="1" applyAlignment="1" applyProtection="1">
      <alignment horizontal="left" vertical="center" wrapText="1"/>
    </xf>
    <xf numFmtId="0" fontId="24" fillId="4" borderId="30" xfId="0" applyFont="1" applyFill="1" applyBorder="1" applyAlignment="1" applyProtection="1">
      <alignment horizontal="left" vertical="center" wrapText="1"/>
    </xf>
    <xf numFmtId="0" fontId="19" fillId="4" borderId="30" xfId="0" applyFont="1" applyFill="1" applyBorder="1" applyAlignment="1" applyProtection="1">
      <alignment horizontal="center" vertical="center" wrapText="1"/>
    </xf>
    <xf numFmtId="0" fontId="0" fillId="4" borderId="64" xfId="0" applyFill="1" applyBorder="1" applyAlignment="1" applyProtection="1">
      <alignment horizontal="center" vertical="center"/>
    </xf>
    <xf numFmtId="0" fontId="24" fillId="4" borderId="53" xfId="0" applyFont="1" applyFill="1" applyBorder="1" applyAlignment="1" applyProtection="1">
      <alignment horizontal="left" vertical="center" wrapText="1"/>
    </xf>
    <xf numFmtId="3" fontId="30" fillId="9" borderId="53" xfId="0" applyNumberFormat="1" applyFont="1" applyFill="1" applyBorder="1" applyAlignment="1" applyProtection="1">
      <alignment horizontal="center" vertical="center"/>
    </xf>
    <xf numFmtId="0" fontId="0" fillId="4" borderId="3" xfId="0" applyFill="1" applyBorder="1" applyAlignment="1" applyProtection="1">
      <alignment vertical="center"/>
    </xf>
    <xf numFmtId="0" fontId="16" fillId="0" borderId="26" xfId="0" applyFont="1" applyBorder="1" applyAlignment="1" applyProtection="1">
      <alignment vertical="center" wrapText="1"/>
    </xf>
    <xf numFmtId="0" fontId="16" fillId="0" borderId="124" xfId="0" applyFont="1" applyBorder="1" applyAlignment="1" applyProtection="1">
      <alignment vertical="center" wrapText="1"/>
    </xf>
    <xf numFmtId="3" fontId="19" fillId="0" borderId="54" xfId="1" applyNumberFormat="1" applyFont="1" applyBorder="1" applyAlignment="1" applyProtection="1">
      <alignment horizontal="center" vertical="center"/>
    </xf>
    <xf numFmtId="0" fontId="16" fillId="0" borderId="27" xfId="0" applyFont="1" applyBorder="1" applyAlignment="1" applyProtection="1">
      <alignment vertical="center" wrapText="1"/>
    </xf>
    <xf numFmtId="0" fontId="16" fillId="0" borderId="125" xfId="0" applyFont="1" applyBorder="1" applyAlignment="1" applyProtection="1">
      <alignment vertical="center" wrapText="1"/>
    </xf>
    <xf numFmtId="1" fontId="16" fillId="0" borderId="21" xfId="0" applyNumberFormat="1" applyFont="1" applyBorder="1" applyAlignment="1" applyProtection="1">
      <alignment horizontal="center" vertical="center"/>
    </xf>
    <xf numFmtId="3" fontId="16" fillId="0" borderId="21" xfId="1" applyNumberFormat="1" applyFont="1" applyBorder="1" applyAlignment="1" applyProtection="1">
      <alignment horizontal="center" vertical="center"/>
    </xf>
    <xf numFmtId="3" fontId="19" fillId="0" borderId="36" xfId="1" applyNumberFormat="1" applyFont="1" applyBorder="1" applyAlignment="1" applyProtection="1">
      <alignment horizontal="center" vertical="center"/>
    </xf>
    <xf numFmtId="3" fontId="19" fillId="0" borderId="0" xfId="1" applyNumberFormat="1" applyFont="1" applyBorder="1" applyAlignment="1" applyProtection="1">
      <alignment horizontal="center" vertical="center"/>
    </xf>
    <xf numFmtId="0" fontId="16" fillId="0" borderId="30" xfId="0" applyFont="1" applyBorder="1" applyAlignment="1" applyProtection="1">
      <alignment vertical="center" wrapText="1"/>
    </xf>
    <xf numFmtId="9" fontId="16" fillId="0" borderId="29" xfId="847" applyFont="1" applyBorder="1" applyAlignment="1" applyProtection="1">
      <alignment horizontal="center" vertical="center"/>
    </xf>
    <xf numFmtId="9" fontId="19" fillId="0" borderId="55" xfId="847" applyFont="1" applyBorder="1" applyAlignment="1" applyProtection="1">
      <alignment horizontal="center" vertical="center"/>
    </xf>
    <xf numFmtId="0" fontId="16" fillId="0" borderId="112" xfId="0" applyFont="1" applyBorder="1" applyAlignment="1" applyProtection="1">
      <alignment vertical="center"/>
    </xf>
    <xf numFmtId="0" fontId="16" fillId="0" borderId="119" xfId="0" applyFont="1" applyBorder="1" applyAlignment="1" applyProtection="1">
      <alignment vertical="center" wrapText="1"/>
    </xf>
    <xf numFmtId="3" fontId="27" fillId="0" borderId="33" xfId="1" applyNumberFormat="1" applyFont="1" applyBorder="1" applyAlignment="1" applyProtection="1">
      <alignment vertical="center"/>
    </xf>
    <xf numFmtId="1" fontId="19" fillId="0" borderId="47" xfId="0" applyNumberFormat="1" applyFont="1" applyBorder="1" applyAlignment="1" applyProtection="1">
      <alignment horizontal="center" vertical="center"/>
    </xf>
    <xf numFmtId="0" fontId="16" fillId="0" borderId="76" xfId="0" applyFont="1" applyBorder="1" applyAlignment="1" applyProtection="1">
      <alignment vertical="center"/>
    </xf>
    <xf numFmtId="3" fontId="27" fillId="0" borderId="49" xfId="1" applyNumberFormat="1" applyFont="1" applyBorder="1" applyAlignment="1" applyProtection="1">
      <alignment vertical="center"/>
    </xf>
    <xf numFmtId="1" fontId="19" fillId="0" borderId="56" xfId="0" applyNumberFormat="1" applyFont="1" applyBorder="1" applyAlignment="1" applyProtection="1">
      <alignment horizontal="center" vertical="center"/>
    </xf>
    <xf numFmtId="3" fontId="17" fillId="0" borderId="38" xfId="1" applyNumberFormat="1" applyFont="1" applyBorder="1" applyAlignment="1" applyProtection="1">
      <alignment horizontal="center" vertical="center"/>
    </xf>
    <xf numFmtId="164" fontId="21" fillId="2" borderId="5" xfId="847" applyNumberFormat="1" applyFont="1" applyFill="1" applyBorder="1" applyAlignment="1" applyProtection="1">
      <alignment horizontal="center" vertical="center"/>
    </xf>
    <xf numFmtId="164" fontId="16" fillId="0" borderId="6" xfId="0" applyNumberFormat="1" applyFont="1" applyBorder="1" applyAlignment="1" applyProtection="1">
      <alignment horizontal="center" vertical="center"/>
    </xf>
    <xf numFmtId="164" fontId="19" fillId="0" borderId="35" xfId="0" applyNumberFormat="1" applyFont="1" applyBorder="1" applyAlignment="1" applyProtection="1">
      <alignment horizontal="center" vertical="center" wrapText="1"/>
    </xf>
    <xf numFmtId="164" fontId="19" fillId="0" borderId="54" xfId="0" applyNumberFormat="1" applyFont="1" applyBorder="1" applyAlignment="1" applyProtection="1">
      <alignment horizontal="center" vertical="center" wrapText="1"/>
    </xf>
    <xf numFmtId="164" fontId="16" fillId="0" borderId="49" xfId="0" applyNumberFormat="1" applyFont="1" applyBorder="1" applyAlignment="1" applyProtection="1">
      <alignment horizontal="center" vertical="center"/>
    </xf>
    <xf numFmtId="164" fontId="16" fillId="0" borderId="49" xfId="1" applyNumberFormat="1" applyFont="1" applyBorder="1" applyAlignment="1" applyProtection="1">
      <alignment horizontal="center" vertical="center"/>
    </xf>
    <xf numFmtId="164" fontId="16" fillId="0" borderId="38" xfId="1" applyNumberFormat="1" applyFont="1" applyBorder="1" applyAlignment="1" applyProtection="1">
      <alignment horizontal="center" vertical="center"/>
    </xf>
    <xf numFmtId="164" fontId="16" fillId="0" borderId="3" xfId="1" applyNumberFormat="1" applyFont="1" applyBorder="1" applyAlignment="1" applyProtection="1">
      <alignment horizontal="center" vertical="center"/>
    </xf>
    <xf numFmtId="1" fontId="19" fillId="0" borderId="54" xfId="0" applyNumberFormat="1" applyFont="1" applyBorder="1" applyAlignment="1" applyProtection="1">
      <alignment horizontal="center" vertical="center" wrapText="1"/>
    </xf>
    <xf numFmtId="1" fontId="16" fillId="0" borderId="3" xfId="1" applyNumberFormat="1" applyFont="1" applyBorder="1" applyAlignment="1" applyProtection="1">
      <alignment horizontal="center" vertical="center"/>
    </xf>
    <xf numFmtId="0" fontId="78" fillId="35" borderId="72" xfId="0" applyFont="1" applyFill="1" applyBorder="1" applyAlignment="1" applyProtection="1">
      <alignment vertical="center"/>
    </xf>
    <xf numFmtId="0" fontId="78" fillId="35" borderId="54" xfId="0" applyFont="1" applyFill="1" applyBorder="1" applyAlignment="1" applyProtection="1">
      <alignment vertical="center"/>
    </xf>
    <xf numFmtId="164" fontId="19" fillId="0" borderId="35" xfId="0" applyNumberFormat="1" applyFont="1" applyBorder="1" applyAlignment="1" applyProtection="1">
      <alignment horizontal="center" vertical="center"/>
    </xf>
    <xf numFmtId="164" fontId="0" fillId="0" borderId="0" xfId="0" applyNumberFormat="1" applyAlignment="1" applyProtection="1">
      <alignment vertical="center"/>
    </xf>
    <xf numFmtId="0" fontId="0" fillId="5" borderId="58" xfId="0" applyFill="1" applyBorder="1" applyAlignment="1" applyProtection="1">
      <alignment vertical="center"/>
    </xf>
    <xf numFmtId="3" fontId="26" fillId="5" borderId="59" xfId="1" applyNumberFormat="1" applyFont="1" applyFill="1" applyBorder="1" applyAlignment="1" applyProtection="1">
      <alignment vertical="center" wrapText="1"/>
    </xf>
    <xf numFmtId="0" fontId="0" fillId="0" borderId="3" xfId="0" applyBorder="1" applyAlignment="1" applyProtection="1">
      <alignment vertical="center"/>
    </xf>
    <xf numFmtId="3" fontId="26" fillId="5" borderId="60" xfId="1" applyNumberFormat="1" applyFont="1" applyFill="1" applyBorder="1" applyAlignment="1" applyProtection="1">
      <alignment vertical="center" wrapText="1"/>
    </xf>
    <xf numFmtId="1" fontId="21" fillId="5" borderId="3" xfId="847" applyNumberFormat="1" applyFont="1" applyFill="1" applyBorder="1" applyAlignment="1" applyProtection="1">
      <alignment horizontal="center" vertical="center"/>
    </xf>
    <xf numFmtId="1" fontId="21" fillId="5" borderId="53" xfId="847" applyNumberFormat="1" applyFont="1" applyFill="1" applyBorder="1" applyAlignment="1" applyProtection="1">
      <alignment horizontal="center" vertical="center"/>
    </xf>
    <xf numFmtId="1" fontId="21" fillId="5" borderId="56" xfId="847" applyNumberFormat="1" applyFont="1" applyFill="1" applyBorder="1" applyAlignment="1" applyProtection="1">
      <alignment horizontal="center" vertical="center"/>
    </xf>
    <xf numFmtId="0" fontId="0" fillId="5" borderId="77" xfId="0" applyFill="1" applyBorder="1" applyAlignment="1" applyProtection="1">
      <alignment vertical="center"/>
    </xf>
    <xf numFmtId="0" fontId="26" fillId="5" borderId="59" xfId="0" applyFont="1" applyFill="1" applyBorder="1" applyAlignment="1" applyProtection="1">
      <alignment vertical="center" wrapText="1"/>
    </xf>
    <xf numFmtId="0" fontId="16" fillId="0" borderId="40" xfId="0" applyFont="1" applyBorder="1" applyAlignment="1" applyProtection="1">
      <alignment vertical="center" wrapText="1"/>
    </xf>
    <xf numFmtId="0" fontId="0" fillId="0" borderId="39" xfId="0" applyBorder="1" applyAlignment="1" applyProtection="1">
      <alignment vertical="center"/>
    </xf>
    <xf numFmtId="0" fontId="0" fillId="0" borderId="40" xfId="0" applyBorder="1" applyAlignment="1" applyProtection="1">
      <alignment vertical="center"/>
    </xf>
    <xf numFmtId="3" fontId="19" fillId="0" borderId="45" xfId="1" applyNumberFormat="1" applyFont="1" applyBorder="1" applyAlignment="1" applyProtection="1">
      <alignment horizontal="center" vertical="center"/>
    </xf>
    <xf numFmtId="0" fontId="0" fillId="0" borderId="0" xfId="0" quotePrefix="1" applyAlignment="1" applyProtection="1">
      <alignment vertical="center"/>
    </xf>
    <xf numFmtId="0" fontId="0" fillId="5" borderId="7" xfId="0" applyFill="1" applyBorder="1" applyAlignment="1" applyProtection="1">
      <alignment vertical="center"/>
    </xf>
    <xf numFmtId="0" fontId="0" fillId="5" borderId="39" xfId="0" applyFill="1" applyBorder="1" applyAlignment="1" applyProtection="1">
      <alignment vertical="center"/>
    </xf>
    <xf numFmtId="3" fontId="19" fillId="0" borderId="45" xfId="1" applyNumberFormat="1" applyFont="1" applyFill="1" applyBorder="1" applyAlignment="1" applyProtection="1">
      <alignment horizontal="center" vertical="center"/>
    </xf>
    <xf numFmtId="1" fontId="19" fillId="5" borderId="5" xfId="0" applyNumberFormat="1" applyFont="1" applyFill="1" applyBorder="1" applyAlignment="1" applyProtection="1">
      <alignment horizontal="center" vertical="center"/>
    </xf>
    <xf numFmtId="1" fontId="19" fillId="5" borderId="66" xfId="0" applyNumberFormat="1" applyFont="1" applyFill="1" applyBorder="1" applyAlignment="1" applyProtection="1">
      <alignment horizontal="center" vertical="center"/>
    </xf>
    <xf numFmtId="3" fontId="17" fillId="4" borderId="3" xfId="0" applyNumberFormat="1" applyFont="1" applyFill="1" applyBorder="1" applyAlignment="1" applyProtection="1">
      <alignment vertical="center"/>
    </xf>
    <xf numFmtId="3" fontId="22" fillId="0" borderId="35" xfId="1" applyNumberFormat="1" applyFont="1" applyBorder="1" applyAlignment="1" applyProtection="1">
      <alignment horizontal="center" vertical="center"/>
    </xf>
    <xf numFmtId="0" fontId="0" fillId="5" borderId="50" xfId="0" applyFill="1" applyBorder="1" applyAlignment="1" applyProtection="1">
      <alignment vertical="center" wrapText="1"/>
    </xf>
    <xf numFmtId="0" fontId="16" fillId="0" borderId="127" xfId="0" applyFont="1" applyBorder="1" applyAlignment="1" applyProtection="1">
      <alignment vertical="center" wrapText="1"/>
    </xf>
    <xf numFmtId="1" fontId="16" fillId="0" borderId="34" xfId="0" applyNumberFormat="1" applyFont="1" applyBorder="1" applyAlignment="1" applyProtection="1">
      <alignment horizontal="center" vertical="center"/>
    </xf>
    <xf numFmtId="3" fontId="16" fillId="0" borderId="34" xfId="1" applyNumberFormat="1" applyFont="1" applyBorder="1" applyAlignment="1" applyProtection="1">
      <alignment horizontal="center" vertical="center"/>
    </xf>
    <xf numFmtId="3" fontId="22" fillId="0" borderId="36" xfId="1" applyNumberFormat="1" applyFont="1" applyBorder="1" applyAlignment="1" applyProtection="1">
      <alignment horizontal="center" vertical="center"/>
    </xf>
    <xf numFmtId="3" fontId="22" fillId="0" borderId="0" xfId="1" applyNumberFormat="1" applyFont="1" applyBorder="1" applyAlignment="1" applyProtection="1">
      <alignment horizontal="center" vertical="center"/>
    </xf>
    <xf numFmtId="1" fontId="22" fillId="0" borderId="45" xfId="0" applyNumberFormat="1" applyFont="1" applyBorder="1" applyAlignment="1" applyProtection="1">
      <alignment horizontal="center" vertical="center"/>
    </xf>
    <xf numFmtId="0" fontId="16" fillId="0" borderId="126" xfId="0" applyFont="1" applyBorder="1" applyAlignment="1" applyProtection="1">
      <alignment vertical="center" wrapText="1"/>
    </xf>
    <xf numFmtId="1" fontId="16" fillId="0" borderId="34" xfId="1" applyNumberFormat="1" applyFont="1" applyBorder="1" applyAlignment="1" applyProtection="1">
      <alignment horizontal="center" vertical="center"/>
    </xf>
    <xf numFmtId="3" fontId="22" fillId="0" borderId="67" xfId="1" applyNumberFormat="1" applyFont="1" applyBorder="1" applyAlignment="1" applyProtection="1">
      <alignment horizontal="center" vertical="center"/>
    </xf>
    <xf numFmtId="3" fontId="16" fillId="0" borderId="33" xfId="1" applyNumberFormat="1" applyFont="1" applyBorder="1" applyAlignment="1" applyProtection="1">
      <alignment horizontal="center" vertical="center"/>
    </xf>
    <xf numFmtId="3" fontId="22" fillId="0" borderId="47" xfId="1" applyNumberFormat="1" applyFont="1" applyBorder="1" applyAlignment="1" applyProtection="1">
      <alignment horizontal="center" vertical="center"/>
    </xf>
    <xf numFmtId="3" fontId="16" fillId="0" borderId="3" xfId="1" applyNumberFormat="1" applyFont="1" applyBorder="1" applyAlignment="1" applyProtection="1">
      <alignment vertical="center" wrapText="1"/>
    </xf>
    <xf numFmtId="3" fontId="16" fillId="0" borderId="49" xfId="1" applyNumberFormat="1" applyFont="1" applyBorder="1" applyAlignment="1" applyProtection="1">
      <alignment horizontal="center" vertical="center"/>
    </xf>
    <xf numFmtId="1" fontId="16" fillId="0" borderId="6" xfId="0" applyNumberFormat="1" applyFont="1" applyBorder="1" applyAlignment="1" applyProtection="1">
      <alignment horizontal="center" vertical="center"/>
    </xf>
    <xf numFmtId="1" fontId="16" fillId="0" borderId="3" xfId="0" applyNumberFormat="1" applyFont="1" applyBorder="1" applyAlignment="1" applyProtection="1">
      <alignment horizontal="center" vertical="center"/>
    </xf>
    <xf numFmtId="3" fontId="22" fillId="0" borderId="56" xfId="1" applyNumberFormat="1" applyFont="1" applyBorder="1" applyAlignment="1" applyProtection="1">
      <alignment horizontal="center" vertical="center"/>
    </xf>
    <xf numFmtId="3" fontId="22" fillId="0" borderId="3" xfId="1" applyNumberFormat="1" applyFont="1" applyBorder="1" applyAlignment="1" applyProtection="1">
      <alignment horizontal="center" vertical="center"/>
    </xf>
    <xf numFmtId="0" fontId="0" fillId="5" borderId="43" xfId="0" applyFill="1" applyBorder="1" applyAlignment="1" applyProtection="1">
      <alignment vertical="center" wrapText="1"/>
    </xf>
    <xf numFmtId="0" fontId="16" fillId="0" borderId="49" xfId="0" applyFont="1" applyBorder="1" applyAlignment="1" applyProtection="1">
      <alignment vertical="center"/>
    </xf>
    <xf numFmtId="1" fontId="16" fillId="0" borderId="38" xfId="0" applyNumberFormat="1" applyFont="1" applyBorder="1" applyAlignment="1" applyProtection="1">
      <alignment horizontal="center" vertical="center"/>
    </xf>
    <xf numFmtId="0" fontId="23" fillId="4" borderId="71" xfId="0" applyFont="1" applyFill="1" applyBorder="1" applyAlignment="1" applyProtection="1">
      <alignment vertical="center" wrapText="1"/>
    </xf>
    <xf numFmtId="0" fontId="23" fillId="4" borderId="87" xfId="0" applyFont="1" applyFill="1" applyBorder="1" applyAlignment="1" applyProtection="1">
      <alignment vertical="center" wrapText="1"/>
    </xf>
    <xf numFmtId="1" fontId="21" fillId="2" borderId="70" xfId="847" applyNumberFormat="1" applyFont="1" applyFill="1" applyBorder="1" applyAlignment="1" applyProtection="1">
      <alignment horizontal="center" vertical="center"/>
    </xf>
    <xf numFmtId="1" fontId="21" fillId="2" borderId="61" xfId="847" applyNumberFormat="1" applyFont="1" applyFill="1" applyBorder="1" applyAlignment="1" applyProtection="1">
      <alignment horizontal="center" vertical="center"/>
    </xf>
    <xf numFmtId="1" fontId="21" fillId="2" borderId="69" xfId="847" applyNumberFormat="1" applyFont="1" applyFill="1" applyBorder="1" applyAlignment="1" applyProtection="1">
      <alignment horizontal="center" vertical="center"/>
    </xf>
    <xf numFmtId="0" fontId="0" fillId="5" borderId="61" xfId="0" applyFill="1" applyBorder="1" applyAlignment="1" applyProtection="1">
      <alignment vertical="center"/>
    </xf>
    <xf numFmtId="3" fontId="26" fillId="5" borderId="62" xfId="1" applyNumberFormat="1" applyFont="1" applyFill="1" applyBorder="1" applyAlignment="1" applyProtection="1">
      <alignment vertical="center" wrapText="1"/>
    </xf>
    <xf numFmtId="0" fontId="27" fillId="7" borderId="54" xfId="0" applyFont="1" applyFill="1" applyBorder="1" applyAlignment="1" applyProtection="1">
      <alignment vertical="center"/>
    </xf>
    <xf numFmtId="0" fontId="48" fillId="7" borderId="54" xfId="0" applyFont="1" applyFill="1" applyBorder="1" applyAlignment="1" applyProtection="1">
      <alignment vertical="center" wrapText="1"/>
    </xf>
    <xf numFmtId="3" fontId="0" fillId="7" borderId="0" xfId="0" applyNumberFormat="1" applyFill="1" applyBorder="1" applyAlignment="1" applyProtection="1">
      <alignment vertical="center" wrapText="1"/>
    </xf>
    <xf numFmtId="0" fontId="28" fillId="5" borderId="54" xfId="0" applyFont="1" applyFill="1" applyBorder="1" applyAlignment="1" applyProtection="1">
      <alignment horizontal="center" vertical="center"/>
    </xf>
    <xf numFmtId="0" fontId="16" fillId="0" borderId="26" xfId="0" applyFont="1" applyBorder="1" applyAlignment="1" applyProtection="1">
      <alignment vertical="center"/>
    </xf>
    <xf numFmtId="0" fontId="16" fillId="0" borderId="124" xfId="0" applyFont="1" applyBorder="1" applyAlignment="1" applyProtection="1">
      <alignment vertical="center"/>
    </xf>
    <xf numFmtId="1" fontId="22" fillId="0" borderId="35" xfId="0" applyNumberFormat="1" applyFont="1" applyBorder="1" applyAlignment="1" applyProtection="1">
      <alignment horizontal="center" vertical="center"/>
    </xf>
    <xf numFmtId="0" fontId="16" fillId="0" borderId="8" xfId="0" applyFont="1" applyBorder="1" applyAlignment="1" applyProtection="1">
      <alignment vertical="center"/>
    </xf>
    <xf numFmtId="0" fontId="16" fillId="0" borderId="102" xfId="0" applyFont="1" applyBorder="1" applyAlignment="1" applyProtection="1">
      <alignment vertical="center"/>
    </xf>
    <xf numFmtId="0" fontId="16" fillId="0" borderId="40" xfId="0" applyFont="1" applyBorder="1" applyAlignment="1" applyProtection="1">
      <alignment vertical="center"/>
    </xf>
    <xf numFmtId="3" fontId="27" fillId="0" borderId="39" xfId="1" applyNumberFormat="1" applyFont="1" applyBorder="1" applyAlignment="1" applyProtection="1">
      <alignment vertical="center" wrapText="1"/>
    </xf>
    <xf numFmtId="1" fontId="22" fillId="0" borderId="56" xfId="0" applyNumberFormat="1" applyFont="1" applyBorder="1" applyAlignment="1" applyProtection="1">
      <alignment horizontal="center" vertical="center"/>
    </xf>
    <xf numFmtId="0" fontId="28" fillId="5" borderId="3" xfId="0" applyFont="1" applyFill="1" applyBorder="1" applyAlignment="1" applyProtection="1">
      <alignment horizontal="center" vertical="center"/>
    </xf>
    <xf numFmtId="0" fontId="27" fillId="7" borderId="0" xfId="0" applyFont="1" applyFill="1" applyBorder="1" applyAlignment="1" applyProtection="1">
      <alignment vertical="center"/>
    </xf>
    <xf numFmtId="0" fontId="48" fillId="7" borderId="0" xfId="0" applyFont="1" applyFill="1" applyBorder="1" applyAlignment="1" applyProtection="1">
      <alignment vertical="center" wrapText="1"/>
    </xf>
    <xf numFmtId="3" fontId="17" fillId="4" borderId="3" xfId="0" applyNumberFormat="1" applyFont="1" applyFill="1" applyBorder="1" applyAlignment="1" applyProtection="1">
      <alignment horizontal="center" vertical="center"/>
    </xf>
    <xf numFmtId="0" fontId="34" fillId="11" borderId="76" xfId="0" applyFont="1" applyFill="1" applyBorder="1" applyAlignment="1" applyProtection="1">
      <alignment horizontal="center" vertical="center"/>
    </xf>
    <xf numFmtId="0" fontId="34" fillId="11" borderId="3" xfId="0" applyFont="1" applyFill="1" applyBorder="1" applyAlignment="1" applyProtection="1">
      <alignment horizontal="center" vertical="center"/>
    </xf>
    <xf numFmtId="0" fontId="34" fillId="11" borderId="0" xfId="0" applyFont="1" applyFill="1" applyBorder="1" applyAlignment="1" applyProtection="1">
      <alignment horizontal="center" vertical="center"/>
    </xf>
    <xf numFmtId="0" fontId="34" fillId="11" borderId="3" xfId="0" applyFont="1" applyFill="1" applyBorder="1" applyAlignment="1" applyProtection="1">
      <alignment horizontal="center" vertical="center" wrapText="1"/>
    </xf>
    <xf numFmtId="0" fontId="0" fillId="4" borderId="128" xfId="0" applyFill="1" applyBorder="1" applyAlignment="1" applyProtection="1">
      <alignment horizontal="left" vertical="center"/>
    </xf>
    <xf numFmtId="0" fontId="0" fillId="4" borderId="65" xfId="0" applyFill="1" applyBorder="1" applyAlignment="1" applyProtection="1">
      <alignment horizontal="left" vertical="center" wrapText="1"/>
    </xf>
    <xf numFmtId="1" fontId="0" fillId="5" borderId="32" xfId="0" applyNumberFormat="1" applyFont="1" applyFill="1" applyBorder="1" applyAlignment="1" applyProtection="1">
      <alignment horizontal="center" vertical="center"/>
    </xf>
    <xf numFmtId="1" fontId="0" fillId="5" borderId="68" xfId="0" applyNumberFormat="1" applyFont="1" applyFill="1" applyBorder="1" applyAlignment="1" applyProtection="1">
      <alignment horizontal="center" vertical="center"/>
    </xf>
    <xf numFmtId="0" fontId="0" fillId="5" borderId="0" xfId="0" applyFont="1" applyFill="1" applyBorder="1" applyAlignment="1" applyProtection="1">
      <alignment vertical="center"/>
    </xf>
    <xf numFmtId="0" fontId="0" fillId="5" borderId="50" xfId="0" applyFont="1" applyFill="1" applyBorder="1" applyAlignment="1" applyProtection="1">
      <alignment vertical="center" wrapText="1"/>
    </xf>
    <xf numFmtId="0" fontId="0" fillId="4" borderId="30" xfId="0" applyFill="1" applyBorder="1" applyAlignment="1" applyProtection="1">
      <alignment horizontal="left" vertical="center" wrapText="1"/>
    </xf>
    <xf numFmtId="0" fontId="16" fillId="4" borderId="30" xfId="0" applyFont="1" applyFill="1" applyBorder="1" applyAlignment="1" applyProtection="1">
      <alignment horizontal="center" vertical="center" wrapText="1"/>
    </xf>
    <xf numFmtId="0" fontId="16" fillId="4" borderId="14" xfId="0" applyFont="1" applyFill="1" applyBorder="1" applyAlignment="1" applyProtection="1">
      <alignment horizontal="center" vertical="center"/>
    </xf>
    <xf numFmtId="0" fontId="0" fillId="4" borderId="53" xfId="0" applyFont="1" applyFill="1" applyBorder="1" applyAlignment="1" applyProtection="1">
      <alignment horizontal="left" vertical="center" wrapText="1"/>
    </xf>
    <xf numFmtId="3" fontId="47" fillId="4" borderId="3" xfId="0" applyNumberFormat="1" applyFont="1" applyFill="1" applyBorder="1" applyAlignment="1" applyProtection="1">
      <alignment vertical="center"/>
    </xf>
    <xf numFmtId="3" fontId="17" fillId="4" borderId="53" xfId="0" applyNumberFormat="1" applyFont="1" applyFill="1" applyBorder="1" applyAlignment="1" applyProtection="1">
      <alignment horizontal="center" vertical="center"/>
    </xf>
    <xf numFmtId="0" fontId="16" fillId="4" borderId="3" xfId="0" applyFont="1" applyFill="1" applyBorder="1" applyAlignment="1" applyProtection="1">
      <alignment vertical="center"/>
    </xf>
    <xf numFmtId="0" fontId="0" fillId="7" borderId="0" xfId="0" applyFont="1" applyFill="1" applyBorder="1" applyAlignment="1" applyProtection="1">
      <alignment vertical="center" wrapText="1"/>
    </xf>
    <xf numFmtId="0" fontId="0" fillId="4" borderId="128" xfId="0" applyFill="1" applyBorder="1" applyAlignment="1" applyProtection="1">
      <alignment horizontal="left" vertical="center" wrapText="1"/>
    </xf>
    <xf numFmtId="0" fontId="0" fillId="0" borderId="0" xfId="0" applyBorder="1" applyAlignment="1" applyProtection="1">
      <alignment vertical="center"/>
    </xf>
    <xf numFmtId="0" fontId="0" fillId="0" borderId="0" xfId="0" applyBorder="1" applyAlignment="1" applyProtection="1">
      <alignment vertical="center" wrapText="1"/>
    </xf>
    <xf numFmtId="0" fontId="26" fillId="0" borderId="0" xfId="0" applyFont="1" applyBorder="1" applyAlignment="1" applyProtection="1">
      <alignment vertical="center" wrapText="1"/>
    </xf>
    <xf numFmtId="0" fontId="31" fillId="7" borderId="0" xfId="0" applyFont="1" applyFill="1" applyBorder="1" applyProtection="1"/>
    <xf numFmtId="0" fontId="0" fillId="10" borderId="30" xfId="0" applyFill="1" applyBorder="1" applyAlignment="1" applyProtection="1"/>
    <xf numFmtId="0" fontId="0" fillId="10" borderId="68" xfId="0" applyFill="1" applyBorder="1" applyAlignment="1" applyProtection="1"/>
    <xf numFmtId="0" fontId="7" fillId="4" borderId="65" xfId="380" applyFont="1" applyFill="1" applyBorder="1" applyAlignment="1" applyProtection="1">
      <alignment horizontal="center" vertical="center"/>
    </xf>
    <xf numFmtId="0" fontId="35" fillId="7" borderId="0" xfId="0" applyFont="1" applyFill="1" applyBorder="1" applyAlignment="1" applyProtection="1">
      <alignment vertical="center"/>
    </xf>
    <xf numFmtId="0" fontId="52" fillId="5" borderId="32" xfId="380" applyFont="1" applyFill="1" applyBorder="1" applyAlignment="1" applyProtection="1">
      <alignment horizontal="center" vertical="center"/>
    </xf>
    <xf numFmtId="0" fontId="50" fillId="7" borderId="0" xfId="0" applyFont="1" applyFill="1" applyBorder="1" applyProtection="1"/>
    <xf numFmtId="0" fontId="52" fillId="5" borderId="0" xfId="380" applyFont="1" applyFill="1" applyBorder="1" applyAlignment="1" applyProtection="1">
      <alignment horizontal="center"/>
    </xf>
    <xf numFmtId="0" fontId="11" fillId="5" borderId="0" xfId="0" applyFont="1" applyFill="1" applyBorder="1" applyProtection="1"/>
    <xf numFmtId="0" fontId="46" fillId="7" borderId="0" xfId="0" applyFont="1" applyFill="1" applyBorder="1" applyProtection="1"/>
    <xf numFmtId="0" fontId="34" fillId="10" borderId="12" xfId="0" applyFont="1" applyFill="1" applyBorder="1" applyAlignment="1" applyProtection="1">
      <alignment horizontal="center" vertical="center"/>
    </xf>
    <xf numFmtId="0" fontId="34" fillId="10" borderId="31" xfId="0" applyFont="1" applyFill="1" applyBorder="1" applyAlignment="1" applyProtection="1">
      <alignment horizontal="center" vertical="center"/>
    </xf>
    <xf numFmtId="0" fontId="34" fillId="10" borderId="13" xfId="0" applyFont="1" applyFill="1" applyBorder="1" applyAlignment="1" applyProtection="1">
      <alignment horizontal="center" vertical="center"/>
    </xf>
    <xf numFmtId="0" fontId="23" fillId="4" borderId="74" xfId="0" applyFont="1" applyFill="1" applyBorder="1" applyAlignment="1" applyProtection="1">
      <alignment vertical="center"/>
    </xf>
    <xf numFmtId="0" fontId="23" fillId="4" borderId="2" xfId="0" applyFont="1" applyFill="1" applyBorder="1" applyAlignment="1" applyProtection="1">
      <alignment vertical="center" wrapText="1"/>
    </xf>
    <xf numFmtId="0" fontId="23" fillId="4" borderId="42" xfId="0" applyFont="1" applyFill="1" applyBorder="1" applyAlignment="1" applyProtection="1">
      <alignment vertical="center" wrapText="1"/>
    </xf>
    <xf numFmtId="0" fontId="16" fillId="0" borderId="31" xfId="0" applyFont="1" applyFill="1" applyBorder="1" applyAlignment="1" applyProtection="1">
      <alignment vertical="center" wrapText="1"/>
    </xf>
    <xf numFmtId="0" fontId="16" fillId="0" borderId="13" xfId="0" applyFont="1" applyFill="1" applyBorder="1" applyAlignment="1" applyProtection="1">
      <alignment vertical="center" wrapText="1"/>
    </xf>
    <xf numFmtId="0" fontId="23" fillId="4" borderId="74" xfId="0" applyFont="1" applyFill="1" applyBorder="1" applyAlignment="1" applyProtection="1">
      <alignment horizontal="left" vertical="center"/>
    </xf>
    <xf numFmtId="0" fontId="16" fillId="0" borderId="12" xfId="0" applyFont="1" applyFill="1" applyBorder="1" applyAlignment="1" applyProtection="1">
      <alignment horizontal="left" vertical="center" wrapText="1"/>
    </xf>
    <xf numFmtId="0" fontId="16" fillId="0" borderId="64" xfId="0" applyFont="1" applyFill="1" applyBorder="1" applyAlignment="1" applyProtection="1">
      <alignment vertical="center" wrapText="1"/>
    </xf>
    <xf numFmtId="0" fontId="15" fillId="0" borderId="82" xfId="380" applyFill="1" applyBorder="1" applyAlignment="1" applyProtection="1">
      <alignment vertical="center" wrapText="1"/>
    </xf>
    <xf numFmtId="0" fontId="16" fillId="0" borderId="64" xfId="0" applyFont="1" applyBorder="1" applyAlignment="1" applyProtection="1">
      <alignment vertical="center" wrapText="1"/>
    </xf>
    <xf numFmtId="0" fontId="16" fillId="0" borderId="31" xfId="0" applyFont="1" applyBorder="1" applyAlignment="1" applyProtection="1">
      <alignment vertical="center" wrapText="1"/>
    </xf>
    <xf numFmtId="0" fontId="16" fillId="0" borderId="13" xfId="0" applyFont="1" applyBorder="1" applyAlignment="1" applyProtection="1">
      <alignment vertical="center" wrapText="1"/>
    </xf>
    <xf numFmtId="0" fontId="16" fillId="0" borderId="12" xfId="0" applyFont="1" applyBorder="1" applyAlignment="1" applyProtection="1">
      <alignment horizontal="left" vertical="center" wrapText="1"/>
    </xf>
    <xf numFmtId="0" fontId="16" fillId="0" borderId="45" xfId="0" applyFont="1" applyBorder="1" applyAlignment="1" applyProtection="1">
      <alignment vertical="center" wrapText="1"/>
    </xf>
    <xf numFmtId="0" fontId="16" fillId="0" borderId="17" xfId="0" applyFont="1" applyBorder="1" applyAlignment="1" applyProtection="1">
      <alignment vertical="center" wrapText="1"/>
    </xf>
    <xf numFmtId="0" fontId="31" fillId="7" borderId="0" xfId="0" applyFont="1" applyFill="1" applyProtection="1"/>
    <xf numFmtId="0" fontId="16" fillId="7" borderId="0" xfId="0" applyFont="1" applyFill="1" applyBorder="1" applyAlignment="1" applyProtection="1">
      <alignment vertical="top"/>
    </xf>
    <xf numFmtId="0" fontId="16" fillId="0" borderId="31" xfId="0" applyFont="1" applyBorder="1" applyAlignment="1" applyProtection="1">
      <alignment vertical="top" wrapText="1"/>
    </xf>
    <xf numFmtId="0" fontId="16" fillId="0" borderId="13" xfId="0" applyFont="1" applyBorder="1" applyAlignment="1" applyProtection="1">
      <alignment vertical="top" wrapText="1"/>
    </xf>
    <xf numFmtId="0" fontId="16" fillId="0" borderId="74" xfId="0" applyFont="1" applyBorder="1" applyAlignment="1" applyProtection="1">
      <alignment horizontal="left" vertical="center" wrapText="1"/>
    </xf>
    <xf numFmtId="0" fontId="16" fillId="0" borderId="16" xfId="0" applyFont="1" applyBorder="1" applyAlignment="1" applyProtection="1">
      <alignment horizontal="left" vertical="center" wrapText="1"/>
    </xf>
    <xf numFmtId="0" fontId="16" fillId="0" borderId="45" xfId="0" applyFont="1" applyBorder="1" applyAlignment="1" applyProtection="1">
      <alignment vertical="top" wrapText="1"/>
    </xf>
    <xf numFmtId="0" fontId="16" fillId="0" borderId="17" xfId="0" applyFont="1" applyBorder="1" applyAlignment="1" applyProtection="1">
      <alignment vertical="top" wrapText="1"/>
    </xf>
    <xf numFmtId="0" fontId="16" fillId="0" borderId="31" xfId="0" applyFont="1" applyFill="1" applyBorder="1" applyAlignment="1" applyProtection="1">
      <alignment horizontal="center" vertical="center" wrapText="1"/>
    </xf>
    <xf numFmtId="0" fontId="16" fillId="0" borderId="31" xfId="0" applyFont="1" applyBorder="1" applyAlignment="1" applyProtection="1">
      <alignment horizontal="center" vertical="center" wrapText="1"/>
    </xf>
    <xf numFmtId="0" fontId="16" fillId="0" borderId="74" xfId="0" applyFont="1" applyBorder="1" applyAlignment="1" applyProtection="1">
      <alignment horizontal="left" vertical="center"/>
    </xf>
    <xf numFmtId="0" fontId="16" fillId="0" borderId="2" xfId="0" applyFont="1" applyBorder="1" applyAlignment="1" applyProtection="1">
      <alignment vertical="center" wrapText="1"/>
    </xf>
    <xf numFmtId="0" fontId="16" fillId="0" borderId="42" xfId="0" applyFont="1" applyBorder="1" applyAlignment="1" applyProtection="1">
      <alignment vertical="center" wrapText="1"/>
    </xf>
    <xf numFmtId="0" fontId="34" fillId="10" borderId="57" xfId="0" applyFont="1" applyFill="1" applyBorder="1" applyAlignment="1" applyProtection="1">
      <alignment horizontal="center" vertical="center"/>
    </xf>
    <xf numFmtId="0" fontId="34" fillId="12" borderId="69" xfId="0" applyFont="1" applyFill="1" applyBorder="1" applyAlignment="1" applyProtection="1">
      <alignment horizontal="center" vertical="center"/>
    </xf>
    <xf numFmtId="0" fontId="34" fillId="13" borderId="69" xfId="0" applyFont="1" applyFill="1" applyBorder="1" applyAlignment="1" applyProtection="1">
      <alignment horizontal="center" vertical="center"/>
    </xf>
    <xf numFmtId="0" fontId="34" fillId="14" borderId="73" xfId="0" applyFont="1" applyFill="1" applyBorder="1" applyAlignment="1" applyProtection="1">
      <alignment horizontal="center" vertical="center"/>
    </xf>
    <xf numFmtId="0" fontId="24" fillId="4" borderId="75" xfId="0" applyFont="1" applyFill="1" applyBorder="1" applyAlignment="1" applyProtection="1">
      <alignment vertical="center" wrapText="1"/>
    </xf>
    <xf numFmtId="0" fontId="24" fillId="4" borderId="5" xfId="0" applyFont="1" applyFill="1" applyBorder="1" applyAlignment="1" applyProtection="1">
      <alignment vertical="center" wrapText="1"/>
    </xf>
    <xf numFmtId="0" fontId="24" fillId="4" borderId="44" xfId="0" applyFont="1" applyFill="1" applyBorder="1" applyAlignment="1" applyProtection="1">
      <alignment vertical="center" wrapText="1"/>
    </xf>
    <xf numFmtId="0" fontId="0" fillId="0" borderId="12" xfId="0" applyBorder="1" applyAlignment="1" applyProtection="1">
      <alignment vertical="center" wrapText="1"/>
    </xf>
    <xf numFmtId="0" fontId="0" fillId="0" borderId="31" xfId="0" applyBorder="1" applyAlignment="1" applyProtection="1">
      <alignment horizontal="center" vertical="center"/>
    </xf>
    <xf numFmtId="0" fontId="0" fillId="0" borderId="13" xfId="0" applyBorder="1" applyAlignment="1" applyProtection="1">
      <alignment horizontal="center" vertical="center"/>
    </xf>
    <xf numFmtId="9" fontId="0" fillId="0" borderId="31" xfId="0" applyNumberFormat="1" applyBorder="1" applyAlignment="1" applyProtection="1">
      <alignment horizontal="center" vertical="center"/>
    </xf>
    <xf numFmtId="16" fontId="0" fillId="0" borderId="31" xfId="0" quotePrefix="1" applyNumberFormat="1" applyBorder="1" applyAlignment="1" applyProtection="1">
      <alignment horizontal="center" vertical="center"/>
    </xf>
    <xf numFmtId="0" fontId="0" fillId="0" borderId="16" xfId="0" applyBorder="1" applyAlignment="1" applyProtection="1">
      <alignment vertical="center" wrapText="1"/>
    </xf>
    <xf numFmtId="0" fontId="0" fillId="0" borderId="45" xfId="0" applyBorder="1" applyAlignment="1" applyProtection="1">
      <alignment horizontal="center" vertical="center"/>
    </xf>
    <xf numFmtId="0" fontId="0" fillId="0" borderId="17" xfId="0" applyBorder="1" applyAlignment="1" applyProtection="1">
      <alignment horizontal="center" vertical="center"/>
    </xf>
    <xf numFmtId="0" fontId="41" fillId="0" borderId="12" xfId="0" applyFont="1" applyFill="1" applyBorder="1" applyAlignment="1" applyProtection="1">
      <alignment vertical="center" wrapText="1"/>
    </xf>
    <xf numFmtId="0" fontId="41" fillId="0" borderId="16" xfId="0" applyFont="1" applyFill="1" applyBorder="1" applyAlignment="1" applyProtection="1">
      <alignment vertical="center" wrapText="1"/>
    </xf>
    <xf numFmtId="0" fontId="19" fillId="15" borderId="74" xfId="0" applyFont="1" applyFill="1" applyBorder="1" applyAlignment="1" applyProtection="1">
      <alignment vertical="center"/>
    </xf>
    <xf numFmtId="0" fontId="19" fillId="15" borderId="2" xfId="0" applyFont="1" applyFill="1" applyBorder="1" applyAlignment="1" applyProtection="1">
      <alignment vertical="center"/>
    </xf>
    <xf numFmtId="0" fontId="19" fillId="15" borderId="42" xfId="0" applyFont="1" applyFill="1" applyBorder="1" applyAlignment="1" applyProtection="1">
      <alignment vertical="center"/>
    </xf>
    <xf numFmtId="0" fontId="19" fillId="16" borderId="74" xfId="0" applyFont="1" applyFill="1" applyBorder="1" applyAlignment="1" applyProtection="1">
      <alignment horizontal="left" vertical="center"/>
    </xf>
    <xf numFmtId="0" fontId="19" fillId="16" borderId="65" xfId="0" applyFont="1" applyFill="1" applyBorder="1" applyAlignment="1" applyProtection="1">
      <alignment horizontal="left" vertical="center"/>
    </xf>
    <xf numFmtId="0" fontId="0" fillId="16" borderId="31" xfId="0" applyFont="1" applyFill="1" applyBorder="1" applyAlignment="1" applyProtection="1">
      <alignment horizontal="left" vertical="center"/>
    </xf>
    <xf numFmtId="167" fontId="12" fillId="16" borderId="13" xfId="365" applyNumberFormat="1" applyFont="1" applyFill="1" applyBorder="1" applyAlignment="1" applyProtection="1">
      <alignment horizontal="left" vertical="center"/>
    </xf>
    <xf numFmtId="0" fontId="0" fillId="0" borderId="74" xfId="0" applyFont="1" applyBorder="1" applyAlignment="1" applyProtection="1">
      <alignment horizontal="left" vertical="center"/>
    </xf>
    <xf numFmtId="0" fontId="0" fillId="0" borderId="65" xfId="0" applyFont="1" applyBorder="1" applyAlignment="1" applyProtection="1">
      <alignment horizontal="left" vertical="center"/>
    </xf>
    <xf numFmtId="0" fontId="0" fillId="0" borderId="31" xfId="0" applyFont="1" applyBorder="1" applyAlignment="1" applyProtection="1">
      <alignment horizontal="center" vertical="center"/>
    </xf>
    <xf numFmtId="3" fontId="12" fillId="0" borderId="13" xfId="365" applyNumberFormat="1" applyFont="1" applyBorder="1" applyAlignment="1" applyProtection="1">
      <alignment horizontal="center" vertical="center"/>
    </xf>
    <xf numFmtId="0" fontId="0" fillId="16" borderId="31" xfId="0" applyFont="1" applyFill="1" applyBorder="1" applyAlignment="1" applyProtection="1">
      <alignment horizontal="center" vertical="center"/>
    </xf>
    <xf numFmtId="3" fontId="12" fillId="16" borderId="13" xfId="365" applyNumberFormat="1" applyFont="1" applyFill="1" applyBorder="1" applyAlignment="1" applyProtection="1">
      <alignment horizontal="center" vertical="center"/>
    </xf>
    <xf numFmtId="0" fontId="19" fillId="15" borderId="2" xfId="0" applyFont="1" applyFill="1" applyBorder="1" applyAlignment="1" applyProtection="1">
      <alignment horizontal="center" vertical="center"/>
    </xf>
    <xf numFmtId="3" fontId="19" fillId="15" borderId="42" xfId="0" applyNumberFormat="1" applyFont="1" applyFill="1" applyBorder="1" applyAlignment="1" applyProtection="1">
      <alignment horizontal="center" vertical="center"/>
    </xf>
    <xf numFmtId="3" fontId="0" fillId="0" borderId="13" xfId="0" applyNumberFormat="1" applyFont="1" applyBorder="1" applyAlignment="1" applyProtection="1">
      <alignment horizontal="center" vertical="center"/>
    </xf>
    <xf numFmtId="0" fontId="27" fillId="0" borderId="76" xfId="0" applyFont="1" applyBorder="1" applyAlignment="1" applyProtection="1">
      <alignment horizontal="left" vertical="center"/>
    </xf>
    <xf numFmtId="0" fontId="27" fillId="0" borderId="3" xfId="0" applyFont="1" applyBorder="1" applyAlignment="1" applyProtection="1">
      <alignment horizontal="left" vertical="center"/>
    </xf>
    <xf numFmtId="0" fontId="0" fillId="0" borderId="3" xfId="0" applyFont="1" applyBorder="1" applyAlignment="1" applyProtection="1">
      <alignment horizontal="center" vertical="center"/>
    </xf>
    <xf numFmtId="3" fontId="0" fillId="0" borderId="43" xfId="0" applyNumberFormat="1" applyFont="1" applyBorder="1" applyAlignment="1" applyProtection="1">
      <alignment horizontal="center" vertical="center"/>
    </xf>
    <xf numFmtId="0" fontId="38" fillId="7" borderId="0" xfId="0" applyFont="1" applyFill="1" applyBorder="1" applyAlignment="1" applyProtection="1"/>
    <xf numFmtId="0" fontId="30" fillId="7" borderId="0" xfId="0" applyFont="1" applyFill="1" applyBorder="1" applyProtection="1"/>
    <xf numFmtId="0" fontId="8" fillId="4" borderId="9" xfId="380" applyFont="1" applyFill="1" applyBorder="1" applyAlignment="1" applyProtection="1">
      <alignment horizontal="center" vertical="center"/>
    </xf>
    <xf numFmtId="0" fontId="30" fillId="5" borderId="2" xfId="0" applyFont="1" applyFill="1" applyBorder="1" applyAlignment="1" applyProtection="1">
      <alignment horizontal="center" vertical="center"/>
    </xf>
    <xf numFmtId="0" fontId="8" fillId="5" borderId="2" xfId="380" applyFont="1" applyFill="1" applyBorder="1" applyAlignment="1" applyProtection="1">
      <alignment horizontal="center" vertical="center"/>
    </xf>
    <xf numFmtId="0" fontId="8" fillId="5" borderId="65" xfId="380" applyFont="1" applyFill="1" applyBorder="1" applyAlignment="1" applyProtection="1">
      <alignment horizontal="center" vertical="center"/>
    </xf>
    <xf numFmtId="0" fontId="36" fillId="7" borderId="0" xfId="0" applyFont="1" applyFill="1" applyBorder="1" applyAlignment="1" applyProtection="1">
      <alignment vertical="top" wrapText="1"/>
    </xf>
    <xf numFmtId="0" fontId="36" fillId="7" borderId="0" xfId="0" applyFont="1" applyFill="1" applyBorder="1" applyAlignment="1" applyProtection="1">
      <alignment vertical="top"/>
    </xf>
    <xf numFmtId="0" fontId="32" fillId="7" borderId="0" xfId="0" applyFont="1" applyFill="1" applyBorder="1" applyAlignment="1" applyProtection="1">
      <alignment vertical="top"/>
    </xf>
    <xf numFmtId="0" fontId="0" fillId="7" borderId="0" xfId="0" applyFill="1" applyBorder="1" applyAlignment="1" applyProtection="1">
      <alignment vertical="top"/>
    </xf>
    <xf numFmtId="0" fontId="39" fillId="5" borderId="40" xfId="0" applyFont="1" applyFill="1" applyBorder="1" applyAlignment="1" applyProtection="1">
      <alignment horizontal="center" vertical="center"/>
    </xf>
    <xf numFmtId="0" fontId="54" fillId="7" borderId="7" xfId="0" applyFont="1" applyFill="1" applyBorder="1" applyAlignment="1" applyProtection="1"/>
    <xf numFmtId="0" fontId="0" fillId="7" borderId="8" xfId="0" applyFill="1" applyBorder="1" applyAlignment="1" applyProtection="1"/>
    <xf numFmtId="0" fontId="32" fillId="16" borderId="10" xfId="0" applyFont="1" applyFill="1" applyBorder="1" applyAlignment="1" applyProtection="1">
      <alignment horizontal="left" vertical="top" wrapText="1"/>
    </xf>
    <xf numFmtId="0" fontId="32" fillId="16" borderId="32" xfId="0" applyFont="1" applyFill="1" applyBorder="1" applyAlignment="1" applyProtection="1">
      <alignment horizontal="left" vertical="top" wrapText="1"/>
    </xf>
    <xf numFmtId="0" fontId="32" fillId="5" borderId="68" xfId="0" applyFont="1" applyFill="1" applyBorder="1" applyAlignment="1" applyProtection="1">
      <alignment horizontal="left" vertical="top" wrapText="1"/>
    </xf>
    <xf numFmtId="0" fontId="0" fillId="7" borderId="8" xfId="0" applyFill="1" applyBorder="1" applyAlignment="1" applyProtection="1">
      <alignment vertical="top"/>
    </xf>
    <xf numFmtId="0" fontId="32" fillId="16" borderId="7" xfId="0" applyFont="1" applyFill="1" applyBorder="1" applyAlignment="1" applyProtection="1">
      <alignment horizontal="left" vertical="top" wrapText="1"/>
    </xf>
    <xf numFmtId="0" fontId="32" fillId="16" borderId="0" xfId="0" applyFont="1" applyFill="1" applyBorder="1" applyAlignment="1" applyProtection="1">
      <alignment horizontal="left" vertical="top" wrapText="1"/>
    </xf>
    <xf numFmtId="0" fontId="32" fillId="5" borderId="8" xfId="0" applyFont="1" applyFill="1" applyBorder="1" applyAlignment="1" applyProtection="1">
      <alignment horizontal="left" vertical="top" wrapText="1"/>
    </xf>
    <xf numFmtId="0" fontId="54" fillId="7" borderId="14" xfId="0" applyFont="1" applyFill="1" applyBorder="1" applyAlignment="1" applyProtection="1"/>
    <xf numFmtId="0" fontId="0" fillId="7" borderId="29" xfId="0" applyFill="1" applyBorder="1" applyAlignment="1" applyProtection="1"/>
    <xf numFmtId="0" fontId="0" fillId="7" borderId="30" xfId="0" applyFill="1" applyBorder="1" applyAlignment="1" applyProtection="1">
      <alignment vertical="top"/>
    </xf>
    <xf numFmtId="0" fontId="31" fillId="36" borderId="132" xfId="0" applyFont="1" applyFill="1" applyBorder="1"/>
    <xf numFmtId="0" fontId="31" fillId="36" borderId="133" xfId="0" applyFont="1" applyFill="1" applyBorder="1"/>
    <xf numFmtId="0" fontId="31" fillId="36" borderId="134" xfId="0" applyFont="1" applyFill="1" applyBorder="1"/>
    <xf numFmtId="0" fontId="0" fillId="37" borderId="0" xfId="0" applyFill="1"/>
    <xf numFmtId="0" fontId="31" fillId="36" borderId="135" xfId="0" applyFont="1" applyFill="1" applyBorder="1"/>
    <xf numFmtId="0" fontId="31" fillId="36" borderId="0" xfId="0" applyFont="1" applyFill="1" applyBorder="1"/>
    <xf numFmtId="0" fontId="31" fillId="36" borderId="136" xfId="0" applyFont="1" applyFill="1" applyBorder="1"/>
    <xf numFmtId="0" fontId="80" fillId="36" borderId="0" xfId="0" applyFont="1" applyFill="1" applyBorder="1"/>
    <xf numFmtId="0" fontId="85" fillId="36" borderId="0" xfId="0" applyFont="1" applyFill="1" applyBorder="1" applyAlignment="1"/>
    <xf numFmtId="0" fontId="31" fillId="36" borderId="138" xfId="0" applyFont="1" applyFill="1" applyBorder="1"/>
    <xf numFmtId="0" fontId="31" fillId="36" borderId="137" xfId="0" applyFont="1" applyFill="1" applyBorder="1"/>
    <xf numFmtId="0" fontId="31" fillId="36" borderId="139" xfId="0" applyFont="1" applyFill="1" applyBorder="1"/>
    <xf numFmtId="0" fontId="0" fillId="0" borderId="74" xfId="0" applyBorder="1" applyAlignment="1" applyProtection="1">
      <alignment horizontal="left" vertical="center"/>
    </xf>
    <xf numFmtId="0" fontId="85" fillId="36" borderId="0" xfId="0" applyFont="1" applyFill="1" applyBorder="1" applyAlignment="1">
      <alignment horizontal="center"/>
    </xf>
    <xf numFmtId="0" fontId="86" fillId="36" borderId="0" xfId="0" applyFont="1" applyFill="1" applyBorder="1" applyAlignment="1">
      <alignment horizontal="center"/>
    </xf>
    <xf numFmtId="0" fontId="46" fillId="36" borderId="0" xfId="0" applyFont="1" applyFill="1" applyBorder="1" applyAlignment="1">
      <alignment horizontal="center" wrapText="1"/>
    </xf>
    <xf numFmtId="0" fontId="81" fillId="36" borderId="135" xfId="0" applyFont="1" applyFill="1" applyBorder="1" applyAlignment="1">
      <alignment horizontal="center" vertical="center" wrapText="1"/>
    </xf>
    <xf numFmtId="0" fontId="81" fillId="36" borderId="0" xfId="0" applyFont="1" applyFill="1" applyBorder="1" applyAlignment="1">
      <alignment horizontal="center" vertical="center" wrapText="1"/>
    </xf>
    <xf numFmtId="0" fontId="81" fillId="36" borderId="136" xfId="0" applyFont="1" applyFill="1" applyBorder="1" applyAlignment="1">
      <alignment horizontal="center" vertical="center" wrapText="1"/>
    </xf>
    <xf numFmtId="0" fontId="83" fillId="36" borderId="135" xfId="0" applyFont="1" applyFill="1" applyBorder="1" applyAlignment="1">
      <alignment horizontal="center"/>
    </xf>
    <xf numFmtId="0" fontId="83" fillId="36" borderId="0" xfId="0" applyFont="1" applyFill="1" applyBorder="1" applyAlignment="1">
      <alignment horizontal="center"/>
    </xf>
    <xf numFmtId="0" fontId="83" fillId="36" borderId="136" xfId="0" applyFont="1" applyFill="1" applyBorder="1" applyAlignment="1">
      <alignment horizontal="center"/>
    </xf>
    <xf numFmtId="0" fontId="83" fillId="36" borderId="0" xfId="0" applyFont="1" applyFill="1" applyBorder="1" applyAlignment="1">
      <alignment horizontal="center" vertical="top" wrapText="1"/>
    </xf>
    <xf numFmtId="0" fontId="31" fillId="0" borderId="0" xfId="0" applyFont="1"/>
    <xf numFmtId="0" fontId="31" fillId="0" borderId="137" xfId="0" applyFont="1" applyBorder="1"/>
    <xf numFmtId="0" fontId="84" fillId="36" borderId="0" xfId="0" applyFont="1" applyFill="1" applyBorder="1" applyAlignment="1">
      <alignment horizontal="center" vertical="center"/>
    </xf>
    <xf numFmtId="0" fontId="55" fillId="10" borderId="7" xfId="0" applyFont="1" applyFill="1" applyBorder="1" applyAlignment="1" applyProtection="1">
      <alignment horizontal="center" wrapText="1"/>
    </xf>
    <xf numFmtId="0" fontId="55" fillId="10" borderId="0" xfId="0" applyFont="1" applyFill="1" applyBorder="1" applyAlignment="1" applyProtection="1">
      <alignment horizontal="center" wrapText="1"/>
    </xf>
    <xf numFmtId="0" fontId="55" fillId="10" borderId="8" xfId="0" applyFont="1" applyFill="1" applyBorder="1" applyAlignment="1" applyProtection="1">
      <alignment horizontal="center" wrapText="1"/>
    </xf>
    <xf numFmtId="0" fontId="56" fillId="17" borderId="7" xfId="0" applyFont="1" applyFill="1" applyBorder="1" applyAlignment="1" applyProtection="1">
      <alignment horizontal="center" wrapText="1"/>
    </xf>
    <xf numFmtId="0" fontId="56" fillId="17" borderId="0" xfId="0" applyFont="1" applyFill="1" applyBorder="1" applyAlignment="1" applyProtection="1">
      <alignment horizontal="center" wrapText="1"/>
    </xf>
    <xf numFmtId="0" fontId="56" fillId="17" borderId="8" xfId="0" applyFont="1" applyFill="1" applyBorder="1" applyAlignment="1" applyProtection="1">
      <alignment horizontal="center" wrapText="1"/>
    </xf>
    <xf numFmtId="0" fontId="40" fillId="10" borderId="7" xfId="0" applyFont="1" applyFill="1" applyBorder="1" applyAlignment="1" applyProtection="1">
      <alignment horizontal="center"/>
    </xf>
    <xf numFmtId="0" fontId="40" fillId="10" borderId="0" xfId="0" applyFont="1" applyFill="1" applyBorder="1" applyAlignment="1" applyProtection="1">
      <alignment horizontal="center"/>
    </xf>
    <xf numFmtId="0" fontId="40" fillId="10" borderId="8" xfId="0" applyFont="1" applyFill="1" applyBorder="1" applyAlignment="1" applyProtection="1">
      <alignment horizontal="center"/>
    </xf>
    <xf numFmtId="0" fontId="32" fillId="16" borderId="7" xfId="0" applyFont="1" applyFill="1" applyBorder="1" applyAlignment="1" applyProtection="1">
      <alignment horizontal="left" vertical="top" wrapText="1"/>
    </xf>
    <xf numFmtId="0" fontId="32" fillId="16" borderId="0" xfId="0" applyFont="1" applyFill="1" applyBorder="1" applyAlignment="1" applyProtection="1">
      <alignment horizontal="left" vertical="top" wrapText="1"/>
    </xf>
    <xf numFmtId="0" fontId="32" fillId="16" borderId="10" xfId="0" applyFont="1" applyFill="1" applyBorder="1" applyAlignment="1" applyProtection="1">
      <alignment horizontal="left" vertical="top" wrapText="1"/>
    </xf>
    <xf numFmtId="0" fontId="32" fillId="16" borderId="32" xfId="0" applyFont="1" applyFill="1" applyBorder="1" applyAlignment="1" applyProtection="1">
      <alignment horizontal="left" vertical="top" wrapText="1"/>
    </xf>
    <xf numFmtId="0" fontId="32" fillId="5" borderId="8" xfId="0" applyFont="1" applyFill="1" applyBorder="1" applyAlignment="1" applyProtection="1">
      <alignment horizontal="left" vertical="top" wrapText="1"/>
    </xf>
    <xf numFmtId="0" fontId="32" fillId="5" borderId="68" xfId="0" applyFont="1" applyFill="1" applyBorder="1" applyAlignment="1" applyProtection="1">
      <alignment horizontal="left" vertical="top" wrapText="1"/>
    </xf>
    <xf numFmtId="0" fontId="57" fillId="11" borderId="0" xfId="0" applyFont="1" applyFill="1" applyBorder="1" applyAlignment="1" applyProtection="1">
      <alignment horizontal="center" vertical="center"/>
    </xf>
    <xf numFmtId="0" fontId="36" fillId="7" borderId="0" xfId="0" applyFont="1" applyFill="1" applyBorder="1" applyAlignment="1" applyProtection="1">
      <alignment horizontal="left" vertical="top" wrapText="1"/>
    </xf>
    <xf numFmtId="0" fontId="39" fillId="16" borderId="15" xfId="0" applyFont="1" applyFill="1" applyBorder="1" applyAlignment="1" applyProtection="1">
      <alignment horizontal="center" vertical="center"/>
    </xf>
    <xf numFmtId="0" fontId="39" fillId="16" borderId="39" xfId="0" applyFont="1" applyFill="1" applyBorder="1" applyAlignment="1" applyProtection="1">
      <alignment horizontal="center" vertical="center"/>
    </xf>
    <xf numFmtId="0" fontId="26" fillId="0" borderId="77" xfId="0" applyFont="1" applyFill="1" applyBorder="1" applyAlignment="1" applyProtection="1">
      <alignment horizontal="center" vertical="center" wrapText="1"/>
    </xf>
    <xf numFmtId="0" fontId="26" fillId="0" borderId="3" xfId="0" applyFont="1" applyFill="1" applyBorder="1" applyAlignment="1" applyProtection="1">
      <alignment horizontal="center" vertical="center" wrapText="1"/>
    </xf>
    <xf numFmtId="0" fontId="26" fillId="0" borderId="43" xfId="0" applyFont="1" applyFill="1" applyBorder="1" applyAlignment="1" applyProtection="1">
      <alignment horizontal="center" vertical="center" wrapText="1"/>
    </xf>
    <xf numFmtId="0" fontId="27" fillId="7" borderId="0" xfId="0" applyFont="1" applyFill="1" applyBorder="1" applyAlignment="1" applyProtection="1">
      <alignment horizontal="left" vertical="center" wrapText="1"/>
    </xf>
    <xf numFmtId="0" fontId="27" fillId="7" borderId="54" xfId="0" applyFont="1" applyFill="1" applyBorder="1" applyAlignment="1" applyProtection="1">
      <alignment vertical="center" wrapText="1"/>
    </xf>
    <xf numFmtId="3" fontId="17" fillId="4" borderId="3" xfId="0" applyNumberFormat="1" applyFont="1" applyFill="1" applyBorder="1" applyAlignment="1" applyProtection="1">
      <alignment horizontal="center" vertical="center"/>
    </xf>
    <xf numFmtId="0" fontId="26" fillId="0" borderId="37" xfId="0" applyFont="1" applyFill="1" applyBorder="1" applyAlignment="1" applyProtection="1">
      <alignment horizontal="center" vertical="center" wrapText="1"/>
    </xf>
    <xf numFmtId="0" fontId="26" fillId="0" borderId="111" xfId="0" applyFont="1" applyFill="1" applyBorder="1" applyAlignment="1" applyProtection="1">
      <alignment horizontal="center" vertical="center" wrapText="1"/>
    </xf>
    <xf numFmtId="0" fontId="26" fillId="0" borderId="55" xfId="0" applyFont="1" applyFill="1" applyBorder="1" applyAlignment="1" applyProtection="1">
      <alignment horizontal="center" vertical="center" wrapText="1"/>
    </xf>
    <xf numFmtId="0" fontId="26" fillId="0" borderId="64" xfId="0" applyFont="1" applyFill="1" applyBorder="1" applyAlignment="1" applyProtection="1">
      <alignment horizontal="center" vertical="center" wrapText="1"/>
    </xf>
    <xf numFmtId="0" fontId="58" fillId="11" borderId="71" xfId="0" applyFont="1" applyFill="1" applyBorder="1" applyAlignment="1" applyProtection="1">
      <alignment horizontal="center" vertical="center"/>
    </xf>
    <xf numFmtId="0" fontId="58" fillId="11" borderId="61" xfId="0" applyFont="1" applyFill="1" applyBorder="1" applyAlignment="1" applyProtection="1">
      <alignment horizontal="center" vertical="center"/>
    </xf>
    <xf numFmtId="0" fontId="58" fillId="11" borderId="62" xfId="0" applyFont="1" applyFill="1" applyBorder="1" applyAlignment="1" applyProtection="1">
      <alignment horizontal="center" vertical="center"/>
    </xf>
    <xf numFmtId="0" fontId="34" fillId="11" borderId="54" xfId="0" applyFont="1" applyFill="1" applyBorder="1" applyAlignment="1" applyProtection="1">
      <alignment horizontal="center" vertical="center"/>
    </xf>
    <xf numFmtId="0" fontId="34" fillId="11" borderId="59" xfId="0" applyFont="1" applyFill="1" applyBorder="1" applyAlignment="1" applyProtection="1">
      <alignment horizontal="center" vertical="center"/>
    </xf>
    <xf numFmtId="3" fontId="21" fillId="4" borderId="29" xfId="0" applyNumberFormat="1" applyFont="1" applyFill="1" applyBorder="1" applyAlignment="1" applyProtection="1">
      <alignment horizontal="center" vertical="center"/>
    </xf>
    <xf numFmtId="3" fontId="21" fillId="4" borderId="3" xfId="0" applyNumberFormat="1" applyFont="1" applyFill="1" applyBorder="1" applyAlignment="1" applyProtection="1">
      <alignment horizontal="center" vertical="center"/>
    </xf>
    <xf numFmtId="0" fontId="16" fillId="4" borderId="84" xfId="0" applyFont="1" applyFill="1" applyBorder="1" applyAlignment="1" applyProtection="1">
      <alignment horizontal="left" vertical="center" wrapText="1"/>
    </xf>
    <xf numFmtId="0" fontId="16" fillId="4" borderId="43" xfId="0" applyFont="1" applyFill="1" applyBorder="1" applyAlignment="1" applyProtection="1">
      <alignment horizontal="left" vertical="center" wrapText="1"/>
    </xf>
    <xf numFmtId="0" fontId="0" fillId="4" borderId="29" xfId="0" applyFill="1" applyBorder="1" applyAlignment="1" applyProtection="1">
      <alignment horizontal="center" vertical="center" wrapText="1"/>
    </xf>
    <xf numFmtId="0" fontId="0" fillId="4" borderId="29" xfId="0" applyFont="1" applyFill="1" applyBorder="1" applyAlignment="1" applyProtection="1">
      <alignment horizontal="center" vertical="center" wrapText="1"/>
    </xf>
    <xf numFmtId="0" fontId="24" fillId="4" borderId="116" xfId="0" applyFont="1" applyFill="1" applyBorder="1" applyAlignment="1" applyProtection="1">
      <alignment horizontal="left" vertical="center" wrapText="1"/>
    </xf>
    <xf numFmtId="0" fontId="24" fillId="4" borderId="76" xfId="0" applyFont="1" applyFill="1" applyBorder="1" applyAlignment="1" applyProtection="1">
      <alignment horizontal="left" vertical="center" wrapText="1"/>
    </xf>
    <xf numFmtId="0" fontId="0" fillId="4" borderId="116" xfId="0" applyFill="1" applyBorder="1" applyAlignment="1" applyProtection="1">
      <alignment horizontal="left" vertical="center" wrapText="1"/>
    </xf>
    <xf numFmtId="0" fontId="0" fillId="4" borderId="76" xfId="0" applyFont="1" applyFill="1" applyBorder="1" applyAlignment="1" applyProtection="1">
      <alignment horizontal="left" vertical="center" wrapText="1"/>
    </xf>
    <xf numFmtId="0" fontId="16" fillId="4" borderId="29" xfId="0" applyFont="1" applyFill="1" applyBorder="1" applyAlignment="1" applyProtection="1">
      <alignment horizontal="center" vertical="center" wrapText="1"/>
    </xf>
    <xf numFmtId="0" fontId="34" fillId="11" borderId="131" xfId="0" applyFont="1" applyFill="1" applyBorder="1" applyAlignment="1" applyProtection="1">
      <alignment horizontal="center" vertical="center"/>
    </xf>
    <xf numFmtId="0" fontId="34" fillId="11" borderId="61" xfId="0" applyFont="1" applyFill="1" applyBorder="1" applyAlignment="1" applyProtection="1">
      <alignment horizontal="center" vertical="center"/>
    </xf>
    <xf numFmtId="0" fontId="34" fillId="11" borderId="62" xfId="0" applyFont="1" applyFill="1" applyBorder="1" applyAlignment="1" applyProtection="1">
      <alignment horizontal="center" vertical="center"/>
    </xf>
    <xf numFmtId="3" fontId="28" fillId="8" borderId="80" xfId="0" applyNumberFormat="1" applyFont="1" applyFill="1" applyBorder="1" applyAlignment="1" applyProtection="1">
      <alignment horizontal="center" vertical="center"/>
      <protection locked="0"/>
    </xf>
    <xf numFmtId="3" fontId="28" fillId="8" borderId="79" xfId="0" applyNumberFormat="1" applyFont="1" applyFill="1" applyBorder="1" applyAlignment="1" applyProtection="1">
      <alignment horizontal="center" vertical="center"/>
      <protection locked="0"/>
    </xf>
    <xf numFmtId="0" fontId="19" fillId="4" borderId="85" xfId="0" applyFont="1" applyFill="1" applyBorder="1" applyAlignment="1" applyProtection="1">
      <alignment horizontal="left" vertical="center" wrapText="1"/>
    </xf>
    <xf numFmtId="0" fontId="19" fillId="4" borderId="79" xfId="0" applyFont="1" applyFill="1" applyBorder="1" applyAlignment="1" applyProtection="1">
      <alignment horizontal="left" vertical="center" wrapText="1"/>
    </xf>
    <xf numFmtId="0" fontId="59" fillId="11" borderId="75" xfId="0" applyFont="1" applyFill="1" applyBorder="1" applyAlignment="1" applyProtection="1">
      <alignment horizontal="center" vertical="center"/>
    </xf>
    <xf numFmtId="0" fontId="59" fillId="11" borderId="5" xfId="0" applyFont="1" applyFill="1" applyBorder="1" applyAlignment="1" applyProtection="1">
      <alignment horizontal="center" vertical="center"/>
    </xf>
    <xf numFmtId="0" fontId="59" fillId="11" borderId="44" xfId="0" applyFont="1" applyFill="1" applyBorder="1" applyAlignment="1" applyProtection="1">
      <alignment horizontal="center" vertical="center"/>
    </xf>
    <xf numFmtId="0" fontId="56" fillId="17" borderId="7" xfId="0" applyFont="1" applyFill="1" applyBorder="1" applyAlignment="1" applyProtection="1">
      <alignment horizontal="center"/>
    </xf>
    <xf numFmtId="0" fontId="56" fillId="17" borderId="0" xfId="0" applyFont="1" applyFill="1" applyBorder="1" applyAlignment="1" applyProtection="1">
      <alignment horizontal="center"/>
    </xf>
    <xf numFmtId="0" fontId="56" fillId="17" borderId="8" xfId="0" applyFont="1" applyFill="1" applyBorder="1" applyAlignment="1" applyProtection="1">
      <alignment horizontal="center"/>
    </xf>
    <xf numFmtId="0" fontId="7" fillId="4" borderId="2" xfId="380" applyFont="1" applyFill="1" applyBorder="1" applyAlignment="1" applyProtection="1">
      <alignment horizontal="center" vertical="center"/>
    </xf>
    <xf numFmtId="0" fontId="60" fillId="0" borderId="0" xfId="0" applyFont="1" applyFill="1" applyBorder="1" applyAlignment="1" applyProtection="1">
      <alignment horizontal="center" vertical="center"/>
    </xf>
    <xf numFmtId="0" fontId="64" fillId="25" borderId="91" xfId="918" applyFont="1" applyFill="1" applyBorder="1" applyAlignment="1">
      <alignment horizontal="center"/>
    </xf>
    <xf numFmtId="0" fontId="3" fillId="0" borderId="83" xfId="918" applyFont="1" applyBorder="1"/>
    <xf numFmtId="0" fontId="63" fillId="18" borderId="88" xfId="918" applyFont="1" applyFill="1" applyBorder="1" applyAlignment="1">
      <alignment horizontal="center"/>
    </xf>
    <xf numFmtId="0" fontId="63" fillId="18" borderId="89" xfId="918" applyFont="1" applyFill="1" applyBorder="1" applyAlignment="1">
      <alignment horizontal="center"/>
    </xf>
    <xf numFmtId="0" fontId="64" fillId="0" borderId="83" xfId="918" applyFont="1" applyBorder="1" applyAlignment="1" applyProtection="1">
      <alignment horizontal="center"/>
    </xf>
    <xf numFmtId="0" fontId="65" fillId="18" borderId="83" xfId="918" applyFont="1" applyFill="1" applyBorder="1" applyAlignment="1" applyProtection="1">
      <alignment horizontal="center"/>
    </xf>
    <xf numFmtId="0" fontId="64" fillId="0" borderId="83" xfId="918" applyFont="1" applyFill="1" applyBorder="1" applyAlignment="1" applyProtection="1">
      <alignment horizontal="center"/>
    </xf>
    <xf numFmtId="0" fontId="65" fillId="30" borderId="83" xfId="918" applyFont="1" applyFill="1" applyBorder="1" applyAlignment="1" applyProtection="1">
      <alignment horizontal="center"/>
      <protection locked="0"/>
    </xf>
    <xf numFmtId="0" fontId="64" fillId="0" borderId="83" xfId="918" applyFont="1" applyBorder="1" applyAlignment="1">
      <alignment horizontal="center"/>
    </xf>
    <xf numFmtId="0" fontId="64" fillId="0" borderId="83" xfId="918" applyFont="1" applyFill="1" applyBorder="1" applyAlignment="1">
      <alignment horizontal="center"/>
    </xf>
    <xf numFmtId="165" fontId="7" fillId="0" borderId="5" xfId="6" applyNumberFormat="1" applyFont="1" applyFill="1" applyBorder="1" applyAlignment="1" applyProtection="1">
      <alignment horizontal="center"/>
    </xf>
    <xf numFmtId="0" fontId="8" fillId="10" borderId="5" xfId="6" applyNumberFormat="1" applyFont="1" applyFill="1" applyBorder="1" applyAlignment="1" applyProtection="1">
      <alignment horizontal="left" vertical="center"/>
      <protection locked="0"/>
    </xf>
    <xf numFmtId="0" fontId="16" fillId="0" borderId="20" xfId="0" applyFont="1" applyFill="1" applyBorder="1" applyAlignment="1" applyProtection="1">
      <alignment horizontal="left" vertical="center" wrapText="1"/>
    </xf>
    <xf numFmtId="0" fontId="16" fillId="0" borderId="19" xfId="0" applyFont="1" applyFill="1" applyBorder="1" applyAlignment="1" applyProtection="1">
      <alignment horizontal="left" vertical="center" wrapText="1"/>
    </xf>
    <xf numFmtId="0" fontId="16" fillId="0" borderId="55" xfId="0" applyFont="1" applyFill="1" applyBorder="1" applyAlignment="1" applyProtection="1">
      <alignment horizontal="center" vertical="center" wrapText="1"/>
    </xf>
    <xf numFmtId="0" fontId="16" fillId="0" borderId="86" xfId="0" applyFont="1" applyFill="1" applyBorder="1" applyAlignment="1" applyProtection="1">
      <alignment horizontal="center" vertical="center" wrapText="1"/>
    </xf>
    <xf numFmtId="0" fontId="16" fillId="0" borderId="55" xfId="0" applyFont="1" applyFill="1" applyBorder="1" applyAlignment="1" applyProtection="1">
      <alignment horizontal="left" vertical="center" wrapText="1"/>
    </xf>
    <xf numFmtId="0" fontId="16" fillId="0" borderId="86" xfId="0" applyFont="1" applyFill="1" applyBorder="1" applyAlignment="1" applyProtection="1">
      <alignment horizontal="left" vertical="center" wrapText="1"/>
    </xf>
    <xf numFmtId="0" fontId="16" fillId="0" borderId="55" xfId="0" applyFont="1" applyBorder="1" applyAlignment="1" applyProtection="1">
      <alignment horizontal="left" vertical="center" wrapText="1"/>
    </xf>
    <xf numFmtId="0" fontId="16" fillId="0" borderId="86" xfId="0" applyFont="1" applyBorder="1" applyAlignment="1" applyProtection="1">
      <alignment horizontal="left" vertical="center" wrapText="1"/>
    </xf>
    <xf numFmtId="0" fontId="54" fillId="5" borderId="71" xfId="0" applyFont="1" applyFill="1" applyBorder="1" applyAlignment="1" applyProtection="1">
      <alignment horizontal="center" vertical="center"/>
    </xf>
    <xf numFmtId="0" fontId="54" fillId="5" borderId="61" xfId="0" applyFont="1" applyFill="1" applyBorder="1" applyAlignment="1" applyProtection="1">
      <alignment horizontal="center" vertical="center"/>
    </xf>
    <xf numFmtId="0" fontId="54" fillId="5" borderId="62" xfId="0" applyFont="1" applyFill="1" applyBorder="1" applyAlignment="1" applyProtection="1">
      <alignment horizontal="center" vertical="center"/>
    </xf>
    <xf numFmtId="0" fontId="16" fillId="0" borderId="12" xfId="0" applyFont="1" applyFill="1" applyBorder="1" applyAlignment="1" applyProtection="1">
      <alignment horizontal="left" vertical="center" wrapText="1"/>
    </xf>
    <xf numFmtId="0" fontId="16" fillId="0" borderId="12" xfId="0" applyFont="1" applyBorder="1" applyAlignment="1" applyProtection="1">
      <alignment horizontal="left" vertical="center" wrapText="1"/>
    </xf>
    <xf numFmtId="0" fontId="16" fillId="0" borderId="20" xfId="0" applyFont="1" applyBorder="1" applyAlignment="1" applyProtection="1">
      <alignment horizontal="left" vertical="center" wrapText="1"/>
    </xf>
    <xf numFmtId="0" fontId="16" fillId="0" borderId="19" xfId="0" applyFont="1" applyBorder="1" applyAlignment="1" applyProtection="1">
      <alignment horizontal="left" vertical="center" wrapText="1"/>
    </xf>
    <xf numFmtId="0" fontId="61" fillId="17" borderId="0" xfId="0" applyFont="1" applyFill="1" applyBorder="1" applyAlignment="1" applyProtection="1">
      <alignment horizontal="center"/>
    </xf>
    <xf numFmtId="0" fontId="61" fillId="17" borderId="8" xfId="0" applyFont="1" applyFill="1" applyBorder="1" applyAlignment="1" applyProtection="1">
      <alignment horizontal="center"/>
    </xf>
    <xf numFmtId="0" fontId="62" fillId="10" borderId="7" xfId="0" applyFont="1" applyFill="1" applyBorder="1" applyAlignment="1" applyProtection="1">
      <alignment horizontal="center" wrapText="1"/>
    </xf>
    <xf numFmtId="0" fontId="62" fillId="10" borderId="0" xfId="0" applyFont="1" applyFill="1" applyBorder="1" applyAlignment="1" applyProtection="1">
      <alignment horizontal="center" wrapText="1"/>
    </xf>
    <xf numFmtId="0" fontId="62" fillId="10" borderId="8" xfId="0" applyFont="1" applyFill="1" applyBorder="1" applyAlignment="1" applyProtection="1">
      <alignment horizontal="center" wrapText="1"/>
    </xf>
    <xf numFmtId="0" fontId="7" fillId="5" borderId="2" xfId="380" applyFont="1" applyFill="1" applyBorder="1" applyAlignment="1" applyProtection="1">
      <alignment horizontal="center" vertical="center"/>
    </xf>
    <xf numFmtId="0" fontId="32" fillId="7" borderId="0" xfId="0" applyFont="1" applyFill="1" applyBorder="1" applyAlignment="1" applyProtection="1">
      <alignment horizontal="left" wrapText="1"/>
    </xf>
    <xf numFmtId="0" fontId="52" fillId="5" borderId="32" xfId="380" applyFont="1" applyFill="1" applyBorder="1" applyAlignment="1" applyProtection="1">
      <alignment horizontal="center" vertical="center"/>
    </xf>
    <xf numFmtId="0" fontId="16" fillId="0" borderId="16" xfId="0" applyFont="1" applyBorder="1" applyAlignment="1" applyProtection="1">
      <alignment horizontal="left" vertical="center" wrapText="1"/>
    </xf>
    <xf numFmtId="0" fontId="54" fillId="5" borderId="72" xfId="0" applyFont="1" applyFill="1" applyBorder="1" applyAlignment="1" applyProtection="1">
      <alignment horizontal="center" vertical="center"/>
    </xf>
    <xf numFmtId="0" fontId="54" fillId="5" borderId="54" xfId="0" applyFont="1" applyFill="1" applyBorder="1" applyAlignment="1" applyProtection="1">
      <alignment horizontal="center" vertical="center"/>
    </xf>
    <xf numFmtId="0" fontId="54" fillId="5" borderId="59" xfId="0" applyFont="1" applyFill="1" applyBorder="1" applyAlignment="1" applyProtection="1">
      <alignment horizontal="center" vertical="center"/>
    </xf>
    <xf numFmtId="0" fontId="16" fillId="0" borderId="23" xfId="0" applyFont="1" applyFill="1" applyBorder="1" applyAlignment="1" applyProtection="1">
      <alignment horizontal="left" vertical="center" wrapText="1"/>
    </xf>
    <xf numFmtId="0" fontId="0" fillId="0" borderId="74" xfId="0" applyBorder="1" applyAlignment="1" applyProtection="1">
      <alignment horizontal="left" vertical="center" wrapText="1"/>
    </xf>
    <xf numFmtId="0" fontId="0" fillId="0" borderId="65" xfId="0" applyFont="1" applyBorder="1" applyAlignment="1" applyProtection="1">
      <alignment horizontal="left" vertical="center" wrapText="1"/>
    </xf>
    <xf numFmtId="0" fontId="0" fillId="0" borderId="74" xfId="0" applyFont="1" applyBorder="1" applyAlignment="1" applyProtection="1">
      <alignment horizontal="left" vertical="center" wrapText="1"/>
    </xf>
    <xf numFmtId="0" fontId="27" fillId="0" borderId="14" xfId="0" applyFont="1" applyBorder="1" applyAlignment="1" applyProtection="1">
      <alignment horizontal="left" vertical="top" wrapText="1"/>
    </xf>
    <xf numFmtId="0" fontId="27" fillId="0" borderId="29" xfId="0" applyFont="1" applyBorder="1" applyAlignment="1" applyProtection="1">
      <alignment horizontal="left" vertical="top" wrapText="1"/>
    </xf>
    <xf numFmtId="0" fontId="27" fillId="0" borderId="84" xfId="0" applyFont="1" applyBorder="1" applyAlignment="1" applyProtection="1">
      <alignment horizontal="left" vertical="top" wrapText="1"/>
    </xf>
    <xf numFmtId="0" fontId="27" fillId="0" borderId="10" xfId="0" applyFont="1" applyBorder="1" applyAlignment="1" applyProtection="1">
      <alignment horizontal="left" vertical="top" wrapText="1"/>
    </xf>
    <xf numFmtId="0" fontId="27" fillId="0" borderId="32" xfId="0" applyFont="1" applyBorder="1" applyAlignment="1" applyProtection="1">
      <alignment horizontal="left" vertical="top" wrapText="1"/>
    </xf>
    <xf numFmtId="0" fontId="27" fillId="0" borderId="41" xfId="0" applyFont="1" applyBorder="1" applyAlignment="1" applyProtection="1">
      <alignment horizontal="left" vertical="top" wrapText="1"/>
    </xf>
    <xf numFmtId="0" fontId="27" fillId="0" borderId="9" xfId="0" applyFont="1" applyBorder="1" applyAlignment="1" applyProtection="1">
      <alignment horizontal="left" vertical="center" wrapText="1"/>
    </xf>
    <xf numFmtId="0" fontId="27" fillId="0" borderId="2" xfId="0" applyFont="1" applyBorder="1" applyAlignment="1" applyProtection="1">
      <alignment horizontal="left" vertical="center" wrapText="1"/>
    </xf>
    <xf numFmtId="0" fontId="27" fillId="0" borderId="42" xfId="0" applyFont="1" applyBorder="1" applyAlignment="1" applyProtection="1">
      <alignment horizontal="left" vertical="center" wrapText="1"/>
    </xf>
    <xf numFmtId="0" fontId="27" fillId="0" borderId="9" xfId="0" applyFont="1" applyBorder="1" applyAlignment="1" applyProtection="1">
      <alignment horizontal="left" vertical="top" wrapText="1"/>
    </xf>
    <xf numFmtId="0" fontId="27" fillId="0" borderId="2" xfId="0" applyFont="1" applyBorder="1" applyAlignment="1" applyProtection="1">
      <alignment horizontal="left" vertical="top" wrapText="1"/>
    </xf>
    <xf numFmtId="0" fontId="27" fillId="0" borderId="42" xfId="0" applyFont="1" applyBorder="1" applyAlignment="1" applyProtection="1">
      <alignment horizontal="left" vertical="top" wrapText="1"/>
    </xf>
    <xf numFmtId="0" fontId="24" fillId="7" borderId="0" xfId="0" applyFont="1" applyFill="1" applyBorder="1" applyAlignment="1" applyProtection="1">
      <alignment horizontal="left" wrapText="1"/>
    </xf>
    <xf numFmtId="0" fontId="16" fillId="0" borderId="28" xfId="0" applyFont="1" applyFill="1" applyBorder="1" applyAlignment="1" applyProtection="1">
      <alignment horizontal="center" vertical="center" wrapText="1"/>
    </xf>
  </cellXfs>
  <cellStyles count="1839">
    <cellStyle name="Comma" xfId="1" builtinId="3"/>
    <cellStyle name="Comma 10" xfId="2"/>
    <cellStyle name="Comma 10 2" xfId="919"/>
    <cellStyle name="Comma 10 3" xfId="920"/>
    <cellStyle name="Comma 10 4" xfId="921"/>
    <cellStyle name="Comma 10 5" xfId="922"/>
    <cellStyle name="Comma 10 6" xfId="923"/>
    <cellStyle name="Comma 11" xfId="3"/>
    <cellStyle name="Comma 11 2" xfId="924"/>
    <cellStyle name="Comma 11 3" xfId="925"/>
    <cellStyle name="Comma 11 4" xfId="926"/>
    <cellStyle name="Comma 11 5" xfId="927"/>
    <cellStyle name="Comma 11 6" xfId="928"/>
    <cellStyle name="Comma 12" xfId="4"/>
    <cellStyle name="Comma 12 2" xfId="929"/>
    <cellStyle name="Comma 12 3" xfId="930"/>
    <cellStyle name="Comma 12 4" xfId="931"/>
    <cellStyle name="Comma 12 5" xfId="932"/>
    <cellStyle name="Comma 12 6" xfId="933"/>
    <cellStyle name="Comma 13" xfId="5"/>
    <cellStyle name="Comma 13 2" xfId="934"/>
    <cellStyle name="Comma 13 3" xfId="935"/>
    <cellStyle name="Comma 13 4" xfId="936"/>
    <cellStyle name="Comma 13 5" xfId="937"/>
    <cellStyle name="Comma 13 6" xfId="938"/>
    <cellStyle name="Comma 14" xfId="6"/>
    <cellStyle name="Comma 14 2" xfId="939"/>
    <cellStyle name="Comma 14 3" xfId="940"/>
    <cellStyle name="Comma 14 4" xfId="941"/>
    <cellStyle name="Comma 14 5" xfId="942"/>
    <cellStyle name="Comma 14 6" xfId="943"/>
    <cellStyle name="Comma 15" xfId="7"/>
    <cellStyle name="Comma 15 2" xfId="944"/>
    <cellStyle name="Comma 15 3" xfId="945"/>
    <cellStyle name="Comma 15 4" xfId="946"/>
    <cellStyle name="Comma 15 5" xfId="947"/>
    <cellStyle name="Comma 15 6" xfId="948"/>
    <cellStyle name="Comma 16" xfId="8"/>
    <cellStyle name="Comma 16 2" xfId="949"/>
    <cellStyle name="Comma 16 3" xfId="950"/>
    <cellStyle name="Comma 16 4" xfId="951"/>
    <cellStyle name="Comma 16 5" xfId="952"/>
    <cellStyle name="Comma 16 6" xfId="953"/>
    <cellStyle name="Comma 17" xfId="9"/>
    <cellStyle name="Comma 17 2" xfId="954"/>
    <cellStyle name="Comma 17 3" xfId="955"/>
    <cellStyle name="Comma 17 4" xfId="956"/>
    <cellStyle name="Comma 17 5" xfId="957"/>
    <cellStyle name="Comma 17 6" xfId="958"/>
    <cellStyle name="Comma 18" xfId="10"/>
    <cellStyle name="Comma 18 2" xfId="959"/>
    <cellStyle name="Comma 18 3" xfId="960"/>
    <cellStyle name="Comma 18 4" xfId="961"/>
    <cellStyle name="Comma 18 5" xfId="962"/>
    <cellStyle name="Comma 18 6" xfId="963"/>
    <cellStyle name="Comma 19" xfId="11"/>
    <cellStyle name="Comma 19 2" xfId="964"/>
    <cellStyle name="Comma 19 3" xfId="965"/>
    <cellStyle name="Comma 19 4" xfId="966"/>
    <cellStyle name="Comma 19 5" xfId="967"/>
    <cellStyle name="Comma 19 6" xfId="968"/>
    <cellStyle name="Comma 2" xfId="12"/>
    <cellStyle name="Comma 2 10" xfId="13"/>
    <cellStyle name="Comma 2 10 2" xfId="14"/>
    <cellStyle name="Comma 2 10 2 2" xfId="15"/>
    <cellStyle name="Comma 2 10 2 2 2" xfId="16"/>
    <cellStyle name="Comma 2 10 2 2 3" xfId="17"/>
    <cellStyle name="Comma 2 10 2 3" xfId="18"/>
    <cellStyle name="Comma 2 10 2 4" xfId="19"/>
    <cellStyle name="Comma 2 10 2 5" xfId="20"/>
    <cellStyle name="Comma 2 10 2 5 2" xfId="21"/>
    <cellStyle name="Comma 2 10 2 6" xfId="22"/>
    <cellStyle name="Comma 2 10 3" xfId="23"/>
    <cellStyle name="Comma 2 10 4" xfId="969"/>
    <cellStyle name="Comma 2 10 5" xfId="970"/>
    <cellStyle name="Comma 2 10 6" xfId="971"/>
    <cellStyle name="Comma 2 10 7" xfId="972"/>
    <cellStyle name="Comma 2 10 8" xfId="973"/>
    <cellStyle name="Comma 2 11" xfId="24"/>
    <cellStyle name="Comma 2 11 2" xfId="25"/>
    <cellStyle name="Comma 2 11 3" xfId="26"/>
    <cellStyle name="Comma 2 11 4" xfId="974"/>
    <cellStyle name="Comma 2 11 5" xfId="975"/>
    <cellStyle name="Comma 2 11 6" xfId="976"/>
    <cellStyle name="Comma 2 11 7" xfId="977"/>
    <cellStyle name="Comma 2 11 8" xfId="978"/>
    <cellStyle name="Comma 2 12" xfId="27"/>
    <cellStyle name="Comma 2 12 2" xfId="28"/>
    <cellStyle name="Comma 2 12 3" xfId="29"/>
    <cellStyle name="Comma 2 12 4" xfId="979"/>
    <cellStyle name="Comma 2 12 5" xfId="980"/>
    <cellStyle name="Comma 2 12 6" xfId="981"/>
    <cellStyle name="Comma 2 12 7" xfId="982"/>
    <cellStyle name="Comma 2 12 8" xfId="983"/>
    <cellStyle name="Comma 2 13" xfId="30"/>
    <cellStyle name="Comma 2 13 2" xfId="31"/>
    <cellStyle name="Comma 2 13 3" xfId="984"/>
    <cellStyle name="Comma 2 13 4" xfId="985"/>
    <cellStyle name="Comma 2 13 5" xfId="986"/>
    <cellStyle name="Comma 2 13 6" xfId="987"/>
    <cellStyle name="Comma 2 13 7" xfId="988"/>
    <cellStyle name="Comma 2 14" xfId="32"/>
    <cellStyle name="Comma 2 15" xfId="33"/>
    <cellStyle name="Comma 2 16" xfId="34"/>
    <cellStyle name="Comma 2 17" xfId="35"/>
    <cellStyle name="Comma 2 18" xfId="36"/>
    <cellStyle name="Comma 2 19" xfId="37"/>
    <cellStyle name="Comma 2 2" xfId="38"/>
    <cellStyle name="Comma 2 2 10" xfId="39"/>
    <cellStyle name="Comma 2 2 10 2" xfId="989"/>
    <cellStyle name="Comma 2 2 10 3" xfId="990"/>
    <cellStyle name="Comma 2 2 10 4" xfId="991"/>
    <cellStyle name="Comma 2 2 10 5" xfId="992"/>
    <cellStyle name="Comma 2 2 10 6" xfId="993"/>
    <cellStyle name="Comma 2 2 11" xfId="40"/>
    <cellStyle name="Comma 2 2 11 2" xfId="994"/>
    <cellStyle name="Comma 2 2 11 3" xfId="995"/>
    <cellStyle name="Comma 2 2 11 4" xfId="996"/>
    <cellStyle name="Comma 2 2 11 5" xfId="997"/>
    <cellStyle name="Comma 2 2 11 6" xfId="998"/>
    <cellStyle name="Comma 2 2 12" xfId="41"/>
    <cellStyle name="Comma 2 2 12 2" xfId="999"/>
    <cellStyle name="Comma 2 2 12 3" xfId="1000"/>
    <cellStyle name="Comma 2 2 12 4" xfId="1001"/>
    <cellStyle name="Comma 2 2 12 5" xfId="1002"/>
    <cellStyle name="Comma 2 2 12 6" xfId="1003"/>
    <cellStyle name="Comma 2 2 13" xfId="42"/>
    <cellStyle name="Comma 2 2 13 2" xfId="1004"/>
    <cellStyle name="Comma 2 2 13 3" xfId="1005"/>
    <cellStyle name="Comma 2 2 13 4" xfId="1006"/>
    <cellStyle name="Comma 2 2 13 5" xfId="1007"/>
    <cellStyle name="Comma 2 2 13 6" xfId="1008"/>
    <cellStyle name="Comma 2 2 14" xfId="43"/>
    <cellStyle name="Comma 2 2 14 2" xfId="1009"/>
    <cellStyle name="Comma 2 2 14 3" xfId="1010"/>
    <cellStyle name="Comma 2 2 14 4" xfId="1011"/>
    <cellStyle name="Comma 2 2 14 5" xfId="1012"/>
    <cellStyle name="Comma 2 2 14 6" xfId="1013"/>
    <cellStyle name="Comma 2 2 15" xfId="44"/>
    <cellStyle name="Comma 2 2 15 2" xfId="1014"/>
    <cellStyle name="Comma 2 2 15 3" xfId="1015"/>
    <cellStyle name="Comma 2 2 15 4" xfId="1016"/>
    <cellStyle name="Comma 2 2 15 5" xfId="1017"/>
    <cellStyle name="Comma 2 2 15 6" xfId="1018"/>
    <cellStyle name="Comma 2 2 16" xfId="45"/>
    <cellStyle name="Comma 2 2 16 2" xfId="1019"/>
    <cellStyle name="Comma 2 2 16 3" xfId="1020"/>
    <cellStyle name="Comma 2 2 16 4" xfId="1021"/>
    <cellStyle name="Comma 2 2 16 5" xfId="1022"/>
    <cellStyle name="Comma 2 2 16 6" xfId="1023"/>
    <cellStyle name="Comma 2 2 17" xfId="46"/>
    <cellStyle name="Comma 2 2 17 2" xfId="1024"/>
    <cellStyle name="Comma 2 2 17 3" xfId="1025"/>
    <cellStyle name="Comma 2 2 17 4" xfId="1026"/>
    <cellStyle name="Comma 2 2 17 5" xfId="1027"/>
    <cellStyle name="Comma 2 2 17 6" xfId="1028"/>
    <cellStyle name="Comma 2 2 18" xfId="47"/>
    <cellStyle name="Comma 2 2 18 2" xfId="1029"/>
    <cellStyle name="Comma 2 2 18 3" xfId="1030"/>
    <cellStyle name="Comma 2 2 18 4" xfId="1031"/>
    <cellStyle name="Comma 2 2 18 5" xfId="1032"/>
    <cellStyle name="Comma 2 2 18 6" xfId="1033"/>
    <cellStyle name="Comma 2 2 19" xfId="48"/>
    <cellStyle name="Comma 2 2 19 2" xfId="1034"/>
    <cellStyle name="Comma 2 2 19 3" xfId="1035"/>
    <cellStyle name="Comma 2 2 19 4" xfId="1036"/>
    <cellStyle name="Comma 2 2 19 5" xfId="1037"/>
    <cellStyle name="Comma 2 2 19 6" xfId="1038"/>
    <cellStyle name="Comma 2 2 2" xfId="49"/>
    <cellStyle name="Comma 2 2 2 10" xfId="50"/>
    <cellStyle name="Comma 2 2 2 11" xfId="51"/>
    <cellStyle name="Comma 2 2 2 12" xfId="52"/>
    <cellStyle name="Comma 2 2 2 13" xfId="53"/>
    <cellStyle name="Comma 2 2 2 14" xfId="54"/>
    <cellStyle name="Comma 2 2 2 15" xfId="55"/>
    <cellStyle name="Comma 2 2 2 16" xfId="56"/>
    <cellStyle name="Comma 2 2 2 17" xfId="57"/>
    <cellStyle name="Comma 2 2 2 18" xfId="58"/>
    <cellStyle name="Comma 2 2 2 19" xfId="59"/>
    <cellStyle name="Comma 2 2 2 2" xfId="60"/>
    <cellStyle name="Comma 2 2 2 2 10" xfId="61"/>
    <cellStyle name="Comma 2 2 2 2 10 2" xfId="1039"/>
    <cellStyle name="Comma 2 2 2 2 10 3" xfId="1040"/>
    <cellStyle name="Comma 2 2 2 2 10 4" xfId="1041"/>
    <cellStyle name="Comma 2 2 2 2 10 5" xfId="1042"/>
    <cellStyle name="Comma 2 2 2 2 10 6" xfId="1043"/>
    <cellStyle name="Comma 2 2 2 2 11" xfId="62"/>
    <cellStyle name="Comma 2 2 2 2 11 2" xfId="1044"/>
    <cellStyle name="Comma 2 2 2 2 11 3" xfId="1045"/>
    <cellStyle name="Comma 2 2 2 2 11 4" xfId="1046"/>
    <cellStyle name="Comma 2 2 2 2 11 5" xfId="1047"/>
    <cellStyle name="Comma 2 2 2 2 11 6" xfId="1048"/>
    <cellStyle name="Comma 2 2 2 2 12" xfId="63"/>
    <cellStyle name="Comma 2 2 2 2 12 2" xfId="1049"/>
    <cellStyle name="Comma 2 2 2 2 12 3" xfId="1050"/>
    <cellStyle name="Comma 2 2 2 2 12 4" xfId="1051"/>
    <cellStyle name="Comma 2 2 2 2 12 5" xfId="1052"/>
    <cellStyle name="Comma 2 2 2 2 12 6" xfId="1053"/>
    <cellStyle name="Comma 2 2 2 2 13" xfId="64"/>
    <cellStyle name="Comma 2 2 2 2 13 2" xfId="1054"/>
    <cellStyle name="Comma 2 2 2 2 13 3" xfId="1055"/>
    <cellStyle name="Comma 2 2 2 2 13 4" xfId="1056"/>
    <cellStyle name="Comma 2 2 2 2 13 5" xfId="1057"/>
    <cellStyle name="Comma 2 2 2 2 13 6" xfId="1058"/>
    <cellStyle name="Comma 2 2 2 2 14" xfId="65"/>
    <cellStyle name="Comma 2 2 2 2 14 2" xfId="1059"/>
    <cellStyle name="Comma 2 2 2 2 14 3" xfId="1060"/>
    <cellStyle name="Comma 2 2 2 2 14 4" xfId="1061"/>
    <cellStyle name="Comma 2 2 2 2 14 5" xfId="1062"/>
    <cellStyle name="Comma 2 2 2 2 14 6" xfId="1063"/>
    <cellStyle name="Comma 2 2 2 2 15" xfId="66"/>
    <cellStyle name="Comma 2 2 2 2 15 2" xfId="1064"/>
    <cellStyle name="Comma 2 2 2 2 15 3" xfId="1065"/>
    <cellStyle name="Comma 2 2 2 2 15 4" xfId="1066"/>
    <cellStyle name="Comma 2 2 2 2 15 5" xfId="1067"/>
    <cellStyle name="Comma 2 2 2 2 15 6" xfId="1068"/>
    <cellStyle name="Comma 2 2 2 2 16" xfId="67"/>
    <cellStyle name="Comma 2 2 2 2 16 2" xfId="1069"/>
    <cellStyle name="Comma 2 2 2 2 16 3" xfId="1070"/>
    <cellStyle name="Comma 2 2 2 2 16 4" xfId="1071"/>
    <cellStyle name="Comma 2 2 2 2 16 5" xfId="1072"/>
    <cellStyle name="Comma 2 2 2 2 16 6" xfId="1073"/>
    <cellStyle name="Comma 2 2 2 2 17" xfId="1074"/>
    <cellStyle name="Comma 2 2 2 2 18" xfId="1075"/>
    <cellStyle name="Comma 2 2 2 2 19" xfId="1076"/>
    <cellStyle name="Comma 2 2 2 2 2" xfId="68"/>
    <cellStyle name="Comma 2 2 2 2 2 10" xfId="69"/>
    <cellStyle name="Comma 2 2 2 2 2 11" xfId="70"/>
    <cellStyle name="Comma 2 2 2 2 2 12" xfId="71"/>
    <cellStyle name="Comma 2 2 2 2 2 13" xfId="72"/>
    <cellStyle name="Comma 2 2 2 2 2 14" xfId="73"/>
    <cellStyle name="Comma 2 2 2 2 2 15" xfId="74"/>
    <cellStyle name="Comma 2 2 2 2 2 16" xfId="75"/>
    <cellStyle name="Comma 2 2 2 2 2 17" xfId="1077"/>
    <cellStyle name="Comma 2 2 2 2 2 18" xfId="1078"/>
    <cellStyle name="Comma 2 2 2 2 2 19" xfId="1079"/>
    <cellStyle name="Comma 2 2 2 2 2 2" xfId="76"/>
    <cellStyle name="Comma 2 2 2 2 2 2 10" xfId="1080"/>
    <cellStyle name="Comma 2 2 2 2 2 2 11" xfId="1081"/>
    <cellStyle name="Comma 2 2 2 2 2 2 2" xfId="77"/>
    <cellStyle name="Comma 2 2 2 2 2 2 2 10" xfId="1082"/>
    <cellStyle name="Comma 2 2 2 2 2 2 2 2" xfId="78"/>
    <cellStyle name="Comma 2 2 2 2 2 2 2 3" xfId="79"/>
    <cellStyle name="Comma 2 2 2 2 2 2 2 4" xfId="80"/>
    <cellStyle name="Comma 2 2 2 2 2 2 2 5" xfId="81"/>
    <cellStyle name="Comma 2 2 2 2 2 2 2 5 2" xfId="82"/>
    <cellStyle name="Comma 2 2 2 2 2 2 2 5 3" xfId="1083"/>
    <cellStyle name="Comma 2 2 2 2 2 2 2 5 4" xfId="1084"/>
    <cellStyle name="Comma 2 2 2 2 2 2 2 5 5" xfId="1085"/>
    <cellStyle name="Comma 2 2 2 2 2 2 2 5 6" xfId="1086"/>
    <cellStyle name="Comma 2 2 2 2 2 2 2 5 7" xfId="1087"/>
    <cellStyle name="Comma 2 2 2 2 2 2 2 6" xfId="1088"/>
    <cellStyle name="Comma 2 2 2 2 2 2 2 7" xfId="1089"/>
    <cellStyle name="Comma 2 2 2 2 2 2 2 8" xfId="1090"/>
    <cellStyle name="Comma 2 2 2 2 2 2 2 9" xfId="1091"/>
    <cellStyle name="Comma 2 2 2 2 2 2 3" xfId="83"/>
    <cellStyle name="Comma 2 2 2 2 2 2 3 2" xfId="84"/>
    <cellStyle name="Comma 2 2 2 2 2 2 3 3" xfId="85"/>
    <cellStyle name="Comma 2 2 2 2 2 2 3 4" xfId="1092"/>
    <cellStyle name="Comma 2 2 2 2 2 2 3 5" xfId="1093"/>
    <cellStyle name="Comma 2 2 2 2 2 2 3 6" xfId="1094"/>
    <cellStyle name="Comma 2 2 2 2 2 2 3 7" xfId="1095"/>
    <cellStyle name="Comma 2 2 2 2 2 2 3 8" xfId="1096"/>
    <cellStyle name="Comma 2 2 2 2 2 2 4" xfId="86"/>
    <cellStyle name="Comma 2 2 2 2 2 2 4 2" xfId="1097"/>
    <cellStyle name="Comma 2 2 2 2 2 2 4 3" xfId="1098"/>
    <cellStyle name="Comma 2 2 2 2 2 2 4 4" xfId="1099"/>
    <cellStyle name="Comma 2 2 2 2 2 2 4 5" xfId="1100"/>
    <cellStyle name="Comma 2 2 2 2 2 2 4 6" xfId="1101"/>
    <cellStyle name="Comma 2 2 2 2 2 2 5" xfId="87"/>
    <cellStyle name="Comma 2 2 2 2 2 2 5 2" xfId="88"/>
    <cellStyle name="Comma 2 2 2 2 2 2 5 2 2" xfId="1102"/>
    <cellStyle name="Comma 2 2 2 2 2 2 5 2 3" xfId="1103"/>
    <cellStyle name="Comma 2 2 2 2 2 2 5 2 4" xfId="1104"/>
    <cellStyle name="Comma 2 2 2 2 2 2 5 2 5" xfId="1105"/>
    <cellStyle name="Comma 2 2 2 2 2 2 5 2 6" xfId="1106"/>
    <cellStyle name="Comma 2 2 2 2 2 2 6" xfId="89"/>
    <cellStyle name="Comma 2 2 2 2 2 2 6 2" xfId="1107"/>
    <cellStyle name="Comma 2 2 2 2 2 2 6 3" xfId="1108"/>
    <cellStyle name="Comma 2 2 2 2 2 2 6 4" xfId="1109"/>
    <cellStyle name="Comma 2 2 2 2 2 2 6 5" xfId="1110"/>
    <cellStyle name="Comma 2 2 2 2 2 2 6 6" xfId="1111"/>
    <cellStyle name="Comma 2 2 2 2 2 2 7" xfId="1112"/>
    <cellStyle name="Comma 2 2 2 2 2 2 8" xfId="1113"/>
    <cellStyle name="Comma 2 2 2 2 2 2 9" xfId="1114"/>
    <cellStyle name="Comma 2 2 2 2 2 20" xfId="1115"/>
    <cellStyle name="Comma 2 2 2 2 2 21" xfId="1116"/>
    <cellStyle name="Comma 2 2 2 2 2 3" xfId="90"/>
    <cellStyle name="Comma 2 2 2 2 2 4" xfId="91"/>
    <cellStyle name="Comma 2 2 2 2 2 4 2" xfId="92"/>
    <cellStyle name="Comma 2 2 2 2 2 4 2 2" xfId="1117"/>
    <cellStyle name="Comma 2 2 2 2 2 4 2 3" xfId="1118"/>
    <cellStyle name="Comma 2 2 2 2 2 4 2 4" xfId="1119"/>
    <cellStyle name="Comma 2 2 2 2 2 4 2 5" xfId="1120"/>
    <cellStyle name="Comma 2 2 2 2 2 4 2 6" xfId="1121"/>
    <cellStyle name="Comma 2 2 2 2 2 4 3" xfId="93"/>
    <cellStyle name="Comma 2 2 2 2 2 4 3 2" xfId="1122"/>
    <cellStyle name="Comma 2 2 2 2 2 4 3 3" xfId="1123"/>
    <cellStyle name="Comma 2 2 2 2 2 4 3 4" xfId="1124"/>
    <cellStyle name="Comma 2 2 2 2 2 4 3 5" xfId="1125"/>
    <cellStyle name="Comma 2 2 2 2 2 4 3 6" xfId="1126"/>
    <cellStyle name="Comma 2 2 2 2 2 4 4" xfId="94"/>
    <cellStyle name="Comma 2 2 2 2 2 4 4 2" xfId="1127"/>
    <cellStyle name="Comma 2 2 2 2 2 4 4 3" xfId="1128"/>
    <cellStyle name="Comma 2 2 2 2 2 4 4 4" xfId="1129"/>
    <cellStyle name="Comma 2 2 2 2 2 4 4 5" xfId="1130"/>
    <cellStyle name="Comma 2 2 2 2 2 4 4 6" xfId="1131"/>
    <cellStyle name="Comma 2 2 2 2 2 4 5" xfId="95"/>
    <cellStyle name="Comma 2 2 2 2 2 4 5 2" xfId="1132"/>
    <cellStyle name="Comma 2 2 2 2 2 4 5 3" xfId="1133"/>
    <cellStyle name="Comma 2 2 2 2 2 4 5 4" xfId="1134"/>
    <cellStyle name="Comma 2 2 2 2 2 4 5 5" xfId="1135"/>
    <cellStyle name="Comma 2 2 2 2 2 4 5 6" xfId="1136"/>
    <cellStyle name="Comma 2 2 2 2 2 5" xfId="96"/>
    <cellStyle name="Comma 2 2 2 2 2 5 2" xfId="97"/>
    <cellStyle name="Comma 2 2 2 2 2 5 3" xfId="1137"/>
    <cellStyle name="Comma 2 2 2 2 2 5 4" xfId="1138"/>
    <cellStyle name="Comma 2 2 2 2 2 5 5" xfId="1139"/>
    <cellStyle name="Comma 2 2 2 2 2 5 6" xfId="1140"/>
    <cellStyle name="Comma 2 2 2 2 2 5 7" xfId="1141"/>
    <cellStyle name="Comma 2 2 2 2 2 6" xfId="98"/>
    <cellStyle name="Comma 2 2 2 2 2 7" xfId="99"/>
    <cellStyle name="Comma 2 2 2 2 2 8" xfId="100"/>
    <cellStyle name="Comma 2 2 2 2 2 9" xfId="101"/>
    <cellStyle name="Comma 2 2 2 2 20" xfId="1142"/>
    <cellStyle name="Comma 2 2 2 2 21" xfId="1143"/>
    <cellStyle name="Comma 2 2 2 2 3" xfId="102"/>
    <cellStyle name="Comma 2 2 2 2 3 2" xfId="103"/>
    <cellStyle name="Comma 2 2 2 2 3 2 2" xfId="104"/>
    <cellStyle name="Comma 2 2 2 2 3 2 3" xfId="1144"/>
    <cellStyle name="Comma 2 2 2 2 3 2 4" xfId="1145"/>
    <cellStyle name="Comma 2 2 2 2 3 2 5" xfId="1146"/>
    <cellStyle name="Comma 2 2 2 2 3 2 6" xfId="1147"/>
    <cellStyle name="Comma 2 2 2 2 3 2 7" xfId="1148"/>
    <cellStyle name="Comma 2 2 2 2 3 3" xfId="105"/>
    <cellStyle name="Comma 2 2 2 2 3 3 2" xfId="1149"/>
    <cellStyle name="Comma 2 2 2 2 3 3 3" xfId="1150"/>
    <cellStyle name="Comma 2 2 2 2 3 3 4" xfId="1151"/>
    <cellStyle name="Comma 2 2 2 2 3 3 5" xfId="1152"/>
    <cellStyle name="Comma 2 2 2 2 3 3 6" xfId="1153"/>
    <cellStyle name="Comma 2 2 2 2 4" xfId="106"/>
    <cellStyle name="Comma 2 2 2 2 4 10" xfId="1154"/>
    <cellStyle name="Comma 2 2 2 2 4 2" xfId="107"/>
    <cellStyle name="Comma 2 2 2 2 4 3" xfId="108"/>
    <cellStyle name="Comma 2 2 2 2 4 4" xfId="109"/>
    <cellStyle name="Comma 2 2 2 2 4 5" xfId="110"/>
    <cellStyle name="Comma 2 2 2 2 4 6" xfId="1155"/>
    <cellStyle name="Comma 2 2 2 2 4 7" xfId="1156"/>
    <cellStyle name="Comma 2 2 2 2 4 8" xfId="1157"/>
    <cellStyle name="Comma 2 2 2 2 4 9" xfId="1158"/>
    <cellStyle name="Comma 2 2 2 2 5" xfId="111"/>
    <cellStyle name="Comma 2 2 2 2 5 2" xfId="1159"/>
    <cellStyle name="Comma 2 2 2 2 5 3" xfId="1160"/>
    <cellStyle name="Comma 2 2 2 2 5 4" xfId="1161"/>
    <cellStyle name="Comma 2 2 2 2 5 5" xfId="1162"/>
    <cellStyle name="Comma 2 2 2 2 5 6" xfId="1163"/>
    <cellStyle name="Comma 2 2 2 2 6" xfId="112"/>
    <cellStyle name="Comma 2 2 2 2 6 2" xfId="113"/>
    <cellStyle name="Comma 2 2 2 2 6 2 2" xfId="1164"/>
    <cellStyle name="Comma 2 2 2 2 6 2 3" xfId="1165"/>
    <cellStyle name="Comma 2 2 2 2 6 2 4" xfId="1166"/>
    <cellStyle name="Comma 2 2 2 2 6 2 5" xfId="1167"/>
    <cellStyle name="Comma 2 2 2 2 6 2 6" xfId="1168"/>
    <cellStyle name="Comma 2 2 2 2 7" xfId="114"/>
    <cellStyle name="Comma 2 2 2 2 7 2" xfId="1169"/>
    <cellStyle name="Comma 2 2 2 2 7 3" xfId="1170"/>
    <cellStyle name="Comma 2 2 2 2 7 4" xfId="1171"/>
    <cellStyle name="Comma 2 2 2 2 7 5" xfId="1172"/>
    <cellStyle name="Comma 2 2 2 2 7 6" xfId="1173"/>
    <cellStyle name="Comma 2 2 2 2 8" xfId="115"/>
    <cellStyle name="Comma 2 2 2 2 8 2" xfId="1174"/>
    <cellStyle name="Comma 2 2 2 2 8 3" xfId="1175"/>
    <cellStyle name="Comma 2 2 2 2 8 4" xfId="1176"/>
    <cellStyle name="Comma 2 2 2 2 8 5" xfId="1177"/>
    <cellStyle name="Comma 2 2 2 2 8 6" xfId="1178"/>
    <cellStyle name="Comma 2 2 2 2 9" xfId="116"/>
    <cellStyle name="Comma 2 2 2 2 9 2" xfId="1179"/>
    <cellStyle name="Comma 2 2 2 2 9 3" xfId="1180"/>
    <cellStyle name="Comma 2 2 2 2 9 4" xfId="1181"/>
    <cellStyle name="Comma 2 2 2 2 9 5" xfId="1182"/>
    <cellStyle name="Comma 2 2 2 2 9 6" xfId="1183"/>
    <cellStyle name="Comma 2 2 2 20" xfId="117"/>
    <cellStyle name="Comma 2 2 2 21" xfId="118"/>
    <cellStyle name="Comma 2 2 2 22" xfId="119"/>
    <cellStyle name="Comma 2 2 2 23" xfId="120"/>
    <cellStyle name="Comma 2 2 2 24" xfId="121"/>
    <cellStyle name="Comma 2 2 2 25" xfId="122"/>
    <cellStyle name="Comma 2 2 2 26" xfId="123"/>
    <cellStyle name="Comma 2 2 2 27" xfId="124"/>
    <cellStyle name="Comma 2 2 2 28" xfId="125"/>
    <cellStyle name="Comma 2 2 2 29" xfId="126"/>
    <cellStyle name="Comma 2 2 2 3" xfId="127"/>
    <cellStyle name="Comma 2 2 2 30" xfId="128"/>
    <cellStyle name="Comma 2 2 2 31" xfId="129"/>
    <cellStyle name="Comma 2 2 2 32" xfId="130"/>
    <cellStyle name="Comma 2 2 2 33" xfId="131"/>
    <cellStyle name="Comma 2 2 2 34" xfId="132"/>
    <cellStyle name="Comma 2 2 2 35" xfId="133"/>
    <cellStyle name="Comma 2 2 2 36" xfId="134"/>
    <cellStyle name="Comma 2 2 2 37" xfId="135"/>
    <cellStyle name="Comma 2 2 2 38" xfId="136"/>
    <cellStyle name="Comma 2 2 2 39" xfId="137"/>
    <cellStyle name="Comma 2 2 2 4" xfId="138"/>
    <cellStyle name="Comma 2 2 2 40" xfId="139"/>
    <cellStyle name="Comma 2 2 2 41" xfId="140"/>
    <cellStyle name="Comma 2 2 2 42" xfId="141"/>
    <cellStyle name="Comma 2 2 2 43" xfId="142"/>
    <cellStyle name="Comma 2 2 2 44" xfId="143"/>
    <cellStyle name="Comma 2 2 2 45" xfId="144"/>
    <cellStyle name="Comma 2 2 2 46" xfId="145"/>
    <cellStyle name="Comma 2 2 2 47" xfId="146"/>
    <cellStyle name="Comma 2 2 2 48" xfId="147"/>
    <cellStyle name="Comma 2 2 2 49" xfId="148"/>
    <cellStyle name="Comma 2 2 2 5" xfId="149"/>
    <cellStyle name="Comma 2 2 2 50" xfId="150"/>
    <cellStyle name="Comma 2 2 2 51" xfId="151"/>
    <cellStyle name="Comma 2 2 2 52" xfId="152"/>
    <cellStyle name="Comma 2 2 2 52 2" xfId="153"/>
    <cellStyle name="Comma 2 2 2 52 2 2" xfId="154"/>
    <cellStyle name="Comma 2 2 2 52 2 2 2" xfId="1184"/>
    <cellStyle name="Comma 2 2 2 52 2 2 3" xfId="1185"/>
    <cellStyle name="Comma 2 2 2 52 2 2 4" xfId="1186"/>
    <cellStyle name="Comma 2 2 2 52 2 2 5" xfId="1187"/>
    <cellStyle name="Comma 2 2 2 52 2 2 6" xfId="1188"/>
    <cellStyle name="Comma 2 2 2 52 3" xfId="155"/>
    <cellStyle name="Comma 2 2 2 52 4" xfId="1189"/>
    <cellStyle name="Comma 2 2 2 52 5" xfId="1190"/>
    <cellStyle name="Comma 2 2 2 52 6" xfId="1191"/>
    <cellStyle name="Comma 2 2 2 52 7" xfId="1192"/>
    <cellStyle name="Comma 2 2 2 52 8" xfId="1193"/>
    <cellStyle name="Comma 2 2 2 53" xfId="156"/>
    <cellStyle name="Comma 2 2 2 53 2" xfId="157"/>
    <cellStyle name="Comma 2 2 2 53 2 2" xfId="1194"/>
    <cellStyle name="Comma 2 2 2 53 2 3" xfId="1195"/>
    <cellStyle name="Comma 2 2 2 53 2 4" xfId="1196"/>
    <cellStyle name="Comma 2 2 2 53 2 5" xfId="1197"/>
    <cellStyle name="Comma 2 2 2 53 2 6" xfId="1198"/>
    <cellStyle name="Comma 2 2 2 53 3" xfId="158"/>
    <cellStyle name="Comma 2 2 2 53 3 2" xfId="1199"/>
    <cellStyle name="Comma 2 2 2 53 3 3" xfId="1200"/>
    <cellStyle name="Comma 2 2 2 53 3 4" xfId="1201"/>
    <cellStyle name="Comma 2 2 2 53 3 5" xfId="1202"/>
    <cellStyle name="Comma 2 2 2 53 3 6" xfId="1203"/>
    <cellStyle name="Comma 2 2 2 53 4" xfId="159"/>
    <cellStyle name="Comma 2 2 2 53 4 2" xfId="1204"/>
    <cellStyle name="Comma 2 2 2 53 4 3" xfId="1205"/>
    <cellStyle name="Comma 2 2 2 53 4 4" xfId="1206"/>
    <cellStyle name="Comma 2 2 2 53 4 5" xfId="1207"/>
    <cellStyle name="Comma 2 2 2 53 4 6" xfId="1208"/>
    <cellStyle name="Comma 2 2 2 53 5" xfId="160"/>
    <cellStyle name="Comma 2 2 2 53 5 2" xfId="1209"/>
    <cellStyle name="Comma 2 2 2 53 5 3" xfId="1210"/>
    <cellStyle name="Comma 2 2 2 53 5 4" xfId="1211"/>
    <cellStyle name="Comma 2 2 2 53 5 5" xfId="1212"/>
    <cellStyle name="Comma 2 2 2 53 5 6" xfId="1213"/>
    <cellStyle name="Comma 2 2 2 54" xfId="161"/>
    <cellStyle name="Comma 2 2 2 54 2" xfId="162"/>
    <cellStyle name="Comma 2 2 2 55" xfId="163"/>
    <cellStyle name="Comma 2 2 2 55 2" xfId="164"/>
    <cellStyle name="Comma 2 2 2 55 3" xfId="1214"/>
    <cellStyle name="Comma 2 2 2 55 4" xfId="1215"/>
    <cellStyle name="Comma 2 2 2 55 5" xfId="1216"/>
    <cellStyle name="Comma 2 2 2 55 6" xfId="1217"/>
    <cellStyle name="Comma 2 2 2 55 7" xfId="1218"/>
    <cellStyle name="Comma 2 2 2 56" xfId="165"/>
    <cellStyle name="Comma 2 2 2 57" xfId="166"/>
    <cellStyle name="Comma 2 2 2 58" xfId="167"/>
    <cellStyle name="Comma 2 2 2 59" xfId="168"/>
    <cellStyle name="Comma 2 2 2 6" xfId="169"/>
    <cellStyle name="Comma 2 2 2 60" xfId="170"/>
    <cellStyle name="Comma 2 2 2 61" xfId="171"/>
    <cellStyle name="Comma 2 2 2 62" xfId="172"/>
    <cellStyle name="Comma 2 2 2 63" xfId="173"/>
    <cellStyle name="Comma 2 2 2 64" xfId="174"/>
    <cellStyle name="Comma 2 2 2 65" xfId="175"/>
    <cellStyle name="Comma 2 2 2 66" xfId="176"/>
    <cellStyle name="Comma 2 2 2 67" xfId="1219"/>
    <cellStyle name="Comma 2 2 2 68" xfId="1220"/>
    <cellStyle name="Comma 2 2 2 69" xfId="1221"/>
    <cellStyle name="Comma 2 2 2 7" xfId="177"/>
    <cellStyle name="Comma 2 2 2 70" xfId="1222"/>
    <cellStyle name="Comma 2 2 2 71" xfId="1223"/>
    <cellStyle name="Comma 2 2 2 8" xfId="178"/>
    <cellStyle name="Comma 2 2 2 9" xfId="179"/>
    <cellStyle name="Comma 2 2 20" xfId="180"/>
    <cellStyle name="Comma 2 2 20 2" xfId="1224"/>
    <cellStyle name="Comma 2 2 20 3" xfId="1225"/>
    <cellStyle name="Comma 2 2 20 4" xfId="1226"/>
    <cellStyle name="Comma 2 2 20 5" xfId="1227"/>
    <cellStyle name="Comma 2 2 20 6" xfId="1228"/>
    <cellStyle name="Comma 2 2 21" xfId="181"/>
    <cellStyle name="Comma 2 2 21 2" xfId="1229"/>
    <cellStyle name="Comma 2 2 21 3" xfId="1230"/>
    <cellStyle name="Comma 2 2 21 4" xfId="1231"/>
    <cellStyle name="Comma 2 2 21 5" xfId="1232"/>
    <cellStyle name="Comma 2 2 21 6" xfId="1233"/>
    <cellStyle name="Comma 2 2 22" xfId="182"/>
    <cellStyle name="Comma 2 2 22 2" xfId="1234"/>
    <cellStyle name="Comma 2 2 22 3" xfId="1235"/>
    <cellStyle name="Comma 2 2 22 4" xfId="1236"/>
    <cellStyle name="Comma 2 2 22 5" xfId="1237"/>
    <cellStyle name="Comma 2 2 22 6" xfId="1238"/>
    <cellStyle name="Comma 2 2 23" xfId="183"/>
    <cellStyle name="Comma 2 2 23 2" xfId="1239"/>
    <cellStyle name="Comma 2 2 23 3" xfId="1240"/>
    <cellStyle name="Comma 2 2 23 4" xfId="1241"/>
    <cellStyle name="Comma 2 2 23 5" xfId="1242"/>
    <cellStyle name="Comma 2 2 23 6" xfId="1243"/>
    <cellStyle name="Comma 2 2 24" xfId="184"/>
    <cellStyle name="Comma 2 2 24 2" xfId="1244"/>
    <cellStyle name="Comma 2 2 24 3" xfId="1245"/>
    <cellStyle name="Comma 2 2 24 4" xfId="1246"/>
    <cellStyle name="Comma 2 2 24 5" xfId="1247"/>
    <cellStyle name="Comma 2 2 24 6" xfId="1248"/>
    <cellStyle name="Comma 2 2 25" xfId="185"/>
    <cellStyle name="Comma 2 2 25 2" xfId="1249"/>
    <cellStyle name="Comma 2 2 25 3" xfId="1250"/>
    <cellStyle name="Comma 2 2 25 4" xfId="1251"/>
    <cellStyle name="Comma 2 2 25 5" xfId="1252"/>
    <cellStyle name="Comma 2 2 25 6" xfId="1253"/>
    <cellStyle name="Comma 2 2 26" xfId="186"/>
    <cellStyle name="Comma 2 2 26 2" xfId="1254"/>
    <cellStyle name="Comma 2 2 26 3" xfId="1255"/>
    <cellStyle name="Comma 2 2 26 4" xfId="1256"/>
    <cellStyle name="Comma 2 2 26 5" xfId="1257"/>
    <cellStyle name="Comma 2 2 26 6" xfId="1258"/>
    <cellStyle name="Comma 2 2 27" xfId="187"/>
    <cellStyle name="Comma 2 2 27 2" xfId="1259"/>
    <cellStyle name="Comma 2 2 27 3" xfId="1260"/>
    <cellStyle name="Comma 2 2 27 4" xfId="1261"/>
    <cellStyle name="Comma 2 2 27 5" xfId="1262"/>
    <cellStyle name="Comma 2 2 27 6" xfId="1263"/>
    <cellStyle name="Comma 2 2 28" xfId="188"/>
    <cellStyle name="Comma 2 2 28 2" xfId="1264"/>
    <cellStyle name="Comma 2 2 28 3" xfId="1265"/>
    <cellStyle name="Comma 2 2 28 4" xfId="1266"/>
    <cellStyle name="Comma 2 2 28 5" xfId="1267"/>
    <cellStyle name="Comma 2 2 28 6" xfId="1268"/>
    <cellStyle name="Comma 2 2 29" xfId="189"/>
    <cellStyle name="Comma 2 2 29 2" xfId="1269"/>
    <cellStyle name="Comma 2 2 29 3" xfId="1270"/>
    <cellStyle name="Comma 2 2 29 4" xfId="1271"/>
    <cellStyle name="Comma 2 2 29 5" xfId="1272"/>
    <cellStyle name="Comma 2 2 29 6" xfId="1273"/>
    <cellStyle name="Comma 2 2 3" xfId="190"/>
    <cellStyle name="Comma 2 2 30" xfId="191"/>
    <cellStyle name="Comma 2 2 30 2" xfId="1274"/>
    <cellStyle name="Comma 2 2 30 3" xfId="1275"/>
    <cellStyle name="Comma 2 2 30 4" xfId="1276"/>
    <cellStyle name="Comma 2 2 30 5" xfId="1277"/>
    <cellStyle name="Comma 2 2 30 6" xfId="1278"/>
    <cellStyle name="Comma 2 2 31" xfId="192"/>
    <cellStyle name="Comma 2 2 31 2" xfId="1279"/>
    <cellStyle name="Comma 2 2 31 3" xfId="1280"/>
    <cellStyle name="Comma 2 2 31 4" xfId="1281"/>
    <cellStyle name="Comma 2 2 31 5" xfId="1282"/>
    <cellStyle name="Comma 2 2 31 6" xfId="1283"/>
    <cellStyle name="Comma 2 2 32" xfId="193"/>
    <cellStyle name="Comma 2 2 32 2" xfId="1284"/>
    <cellStyle name="Comma 2 2 32 3" xfId="1285"/>
    <cellStyle name="Comma 2 2 32 4" xfId="1286"/>
    <cellStyle name="Comma 2 2 32 5" xfId="1287"/>
    <cellStyle name="Comma 2 2 32 6" xfId="1288"/>
    <cellStyle name="Comma 2 2 33" xfId="194"/>
    <cellStyle name="Comma 2 2 33 2" xfId="1289"/>
    <cellStyle name="Comma 2 2 33 3" xfId="1290"/>
    <cellStyle name="Comma 2 2 33 4" xfId="1291"/>
    <cellStyle name="Comma 2 2 33 5" xfId="1292"/>
    <cellStyle name="Comma 2 2 33 6" xfId="1293"/>
    <cellStyle name="Comma 2 2 34" xfId="195"/>
    <cellStyle name="Comma 2 2 34 2" xfId="1294"/>
    <cellStyle name="Comma 2 2 34 3" xfId="1295"/>
    <cellStyle name="Comma 2 2 34 4" xfId="1296"/>
    <cellStyle name="Comma 2 2 34 5" xfId="1297"/>
    <cellStyle name="Comma 2 2 34 6" xfId="1298"/>
    <cellStyle name="Comma 2 2 35" xfId="196"/>
    <cellStyle name="Comma 2 2 35 2" xfId="1299"/>
    <cellStyle name="Comma 2 2 35 3" xfId="1300"/>
    <cellStyle name="Comma 2 2 35 4" xfId="1301"/>
    <cellStyle name="Comma 2 2 35 5" xfId="1302"/>
    <cellStyle name="Comma 2 2 35 6" xfId="1303"/>
    <cellStyle name="Comma 2 2 36" xfId="197"/>
    <cellStyle name="Comma 2 2 36 2" xfId="1304"/>
    <cellStyle name="Comma 2 2 36 3" xfId="1305"/>
    <cellStyle name="Comma 2 2 36 4" xfId="1306"/>
    <cellStyle name="Comma 2 2 36 5" xfId="1307"/>
    <cellStyle name="Comma 2 2 36 6" xfId="1308"/>
    <cellStyle name="Comma 2 2 37" xfId="198"/>
    <cellStyle name="Comma 2 2 37 2" xfId="1309"/>
    <cellStyle name="Comma 2 2 37 3" xfId="1310"/>
    <cellStyle name="Comma 2 2 37 4" xfId="1311"/>
    <cellStyle name="Comma 2 2 37 5" xfId="1312"/>
    <cellStyle name="Comma 2 2 37 6" xfId="1313"/>
    <cellStyle name="Comma 2 2 38" xfId="199"/>
    <cellStyle name="Comma 2 2 38 2" xfId="1314"/>
    <cellStyle name="Comma 2 2 38 3" xfId="1315"/>
    <cellStyle name="Comma 2 2 38 4" xfId="1316"/>
    <cellStyle name="Comma 2 2 38 5" xfId="1317"/>
    <cellStyle name="Comma 2 2 38 6" xfId="1318"/>
    <cellStyle name="Comma 2 2 39" xfId="200"/>
    <cellStyle name="Comma 2 2 39 2" xfId="1319"/>
    <cellStyle name="Comma 2 2 39 3" xfId="1320"/>
    <cellStyle name="Comma 2 2 39 4" xfId="1321"/>
    <cellStyle name="Comma 2 2 39 5" xfId="1322"/>
    <cellStyle name="Comma 2 2 39 6" xfId="1323"/>
    <cellStyle name="Comma 2 2 4" xfId="201"/>
    <cellStyle name="Comma 2 2 4 2" xfId="202"/>
    <cellStyle name="Comma 2 2 4 2 2" xfId="1324"/>
    <cellStyle name="Comma 2 2 4 2 3" xfId="1325"/>
    <cellStyle name="Comma 2 2 4 2 4" xfId="1326"/>
    <cellStyle name="Comma 2 2 4 2 5" xfId="1327"/>
    <cellStyle name="Comma 2 2 4 2 6" xfId="1328"/>
    <cellStyle name="Comma 2 2 40" xfId="203"/>
    <cellStyle name="Comma 2 2 40 2" xfId="1329"/>
    <cellStyle name="Comma 2 2 40 3" xfId="1330"/>
    <cellStyle name="Comma 2 2 40 4" xfId="1331"/>
    <cellStyle name="Comma 2 2 40 5" xfId="1332"/>
    <cellStyle name="Comma 2 2 40 6" xfId="1333"/>
    <cellStyle name="Comma 2 2 41" xfId="204"/>
    <cellStyle name="Comma 2 2 41 2" xfId="1334"/>
    <cellStyle name="Comma 2 2 41 3" xfId="1335"/>
    <cellStyle name="Comma 2 2 41 4" xfId="1336"/>
    <cellStyle name="Comma 2 2 41 5" xfId="1337"/>
    <cellStyle name="Comma 2 2 41 6" xfId="1338"/>
    <cellStyle name="Comma 2 2 42" xfId="205"/>
    <cellStyle name="Comma 2 2 42 2" xfId="1339"/>
    <cellStyle name="Comma 2 2 42 3" xfId="1340"/>
    <cellStyle name="Comma 2 2 42 4" xfId="1341"/>
    <cellStyle name="Comma 2 2 42 5" xfId="1342"/>
    <cellStyle name="Comma 2 2 42 6" xfId="1343"/>
    <cellStyle name="Comma 2 2 43" xfId="206"/>
    <cellStyle name="Comma 2 2 43 2" xfId="1344"/>
    <cellStyle name="Comma 2 2 43 3" xfId="1345"/>
    <cellStyle name="Comma 2 2 43 4" xfId="1346"/>
    <cellStyle name="Comma 2 2 43 5" xfId="1347"/>
    <cellStyle name="Comma 2 2 43 6" xfId="1348"/>
    <cellStyle name="Comma 2 2 44" xfId="207"/>
    <cellStyle name="Comma 2 2 44 2" xfId="1349"/>
    <cellStyle name="Comma 2 2 44 3" xfId="1350"/>
    <cellStyle name="Comma 2 2 44 4" xfId="1351"/>
    <cellStyle name="Comma 2 2 44 5" xfId="1352"/>
    <cellStyle name="Comma 2 2 44 6" xfId="1353"/>
    <cellStyle name="Comma 2 2 45" xfId="208"/>
    <cellStyle name="Comma 2 2 45 2" xfId="1354"/>
    <cellStyle name="Comma 2 2 45 3" xfId="1355"/>
    <cellStyle name="Comma 2 2 45 4" xfId="1356"/>
    <cellStyle name="Comma 2 2 45 5" xfId="1357"/>
    <cellStyle name="Comma 2 2 45 6" xfId="1358"/>
    <cellStyle name="Comma 2 2 46" xfId="209"/>
    <cellStyle name="Comma 2 2 46 2" xfId="1359"/>
    <cellStyle name="Comma 2 2 46 3" xfId="1360"/>
    <cellStyle name="Comma 2 2 46 4" xfId="1361"/>
    <cellStyle name="Comma 2 2 46 5" xfId="1362"/>
    <cellStyle name="Comma 2 2 46 6" xfId="1363"/>
    <cellStyle name="Comma 2 2 47" xfId="210"/>
    <cellStyle name="Comma 2 2 47 2" xfId="1364"/>
    <cellStyle name="Comma 2 2 47 3" xfId="1365"/>
    <cellStyle name="Comma 2 2 47 4" xfId="1366"/>
    <cellStyle name="Comma 2 2 47 5" xfId="1367"/>
    <cellStyle name="Comma 2 2 47 6" xfId="1368"/>
    <cellStyle name="Comma 2 2 48" xfId="211"/>
    <cellStyle name="Comma 2 2 48 2" xfId="1369"/>
    <cellStyle name="Comma 2 2 48 3" xfId="1370"/>
    <cellStyle name="Comma 2 2 48 4" xfId="1371"/>
    <cellStyle name="Comma 2 2 48 5" xfId="1372"/>
    <cellStyle name="Comma 2 2 48 6" xfId="1373"/>
    <cellStyle name="Comma 2 2 49" xfId="212"/>
    <cellStyle name="Comma 2 2 49 2" xfId="1374"/>
    <cellStyle name="Comma 2 2 49 3" xfId="1375"/>
    <cellStyle name="Comma 2 2 49 4" xfId="1376"/>
    <cellStyle name="Comma 2 2 49 5" xfId="1377"/>
    <cellStyle name="Comma 2 2 49 6" xfId="1378"/>
    <cellStyle name="Comma 2 2 5" xfId="213"/>
    <cellStyle name="Comma 2 2 5 2" xfId="1379"/>
    <cellStyle name="Comma 2 2 5 3" xfId="1380"/>
    <cellStyle name="Comma 2 2 5 4" xfId="1381"/>
    <cellStyle name="Comma 2 2 5 5" xfId="1382"/>
    <cellStyle name="Comma 2 2 5 6" xfId="1383"/>
    <cellStyle name="Comma 2 2 50" xfId="214"/>
    <cellStyle name="Comma 2 2 50 2" xfId="1384"/>
    <cellStyle name="Comma 2 2 50 3" xfId="1385"/>
    <cellStyle name="Comma 2 2 50 4" xfId="1386"/>
    <cellStyle name="Comma 2 2 50 5" xfId="1387"/>
    <cellStyle name="Comma 2 2 50 6" xfId="1388"/>
    <cellStyle name="Comma 2 2 51" xfId="215"/>
    <cellStyle name="Comma 2 2 51 2" xfId="1389"/>
    <cellStyle name="Comma 2 2 51 3" xfId="1390"/>
    <cellStyle name="Comma 2 2 51 4" xfId="1391"/>
    <cellStyle name="Comma 2 2 51 5" xfId="1392"/>
    <cellStyle name="Comma 2 2 51 6" xfId="1393"/>
    <cellStyle name="Comma 2 2 52" xfId="216"/>
    <cellStyle name="Comma 2 2 52 2" xfId="1394"/>
    <cellStyle name="Comma 2 2 52 3" xfId="1395"/>
    <cellStyle name="Comma 2 2 52 4" xfId="1396"/>
    <cellStyle name="Comma 2 2 52 5" xfId="1397"/>
    <cellStyle name="Comma 2 2 52 6" xfId="1398"/>
    <cellStyle name="Comma 2 2 53" xfId="217"/>
    <cellStyle name="Comma 2 2 53 2" xfId="218"/>
    <cellStyle name="Comma 2 2 53 2 2" xfId="219"/>
    <cellStyle name="Comma 2 2 53 2 3" xfId="1399"/>
    <cellStyle name="Comma 2 2 53 2 4" xfId="1400"/>
    <cellStyle name="Comma 2 2 53 2 5" xfId="1401"/>
    <cellStyle name="Comma 2 2 53 2 6" xfId="1402"/>
    <cellStyle name="Comma 2 2 53 2 7" xfId="1403"/>
    <cellStyle name="Comma 2 2 53 3" xfId="220"/>
    <cellStyle name="Comma 2 2 53 3 2" xfId="1404"/>
    <cellStyle name="Comma 2 2 53 3 3" xfId="1405"/>
    <cellStyle name="Comma 2 2 53 3 4" xfId="1406"/>
    <cellStyle name="Comma 2 2 53 3 5" xfId="1407"/>
    <cellStyle name="Comma 2 2 53 3 6" xfId="1408"/>
    <cellStyle name="Comma 2 2 54" xfId="221"/>
    <cellStyle name="Comma 2 2 54 10" xfId="1409"/>
    <cellStyle name="Comma 2 2 54 2" xfId="222"/>
    <cellStyle name="Comma 2 2 54 3" xfId="223"/>
    <cellStyle name="Comma 2 2 54 4" xfId="224"/>
    <cellStyle name="Comma 2 2 54 5" xfId="225"/>
    <cellStyle name="Comma 2 2 54 6" xfId="1410"/>
    <cellStyle name="Comma 2 2 54 7" xfId="1411"/>
    <cellStyle name="Comma 2 2 54 8" xfId="1412"/>
    <cellStyle name="Comma 2 2 54 9" xfId="1413"/>
    <cellStyle name="Comma 2 2 55" xfId="226"/>
    <cellStyle name="Comma 2 2 55 2" xfId="1414"/>
    <cellStyle name="Comma 2 2 55 3" xfId="1415"/>
    <cellStyle name="Comma 2 2 55 4" xfId="1416"/>
    <cellStyle name="Comma 2 2 55 5" xfId="1417"/>
    <cellStyle name="Comma 2 2 55 6" xfId="1418"/>
    <cellStyle name="Comma 2 2 56" xfId="227"/>
    <cellStyle name="Comma 2 2 56 2" xfId="228"/>
    <cellStyle name="Comma 2 2 56 2 2" xfId="1419"/>
    <cellStyle name="Comma 2 2 56 2 3" xfId="1420"/>
    <cellStyle name="Comma 2 2 56 2 4" xfId="1421"/>
    <cellStyle name="Comma 2 2 56 2 5" xfId="1422"/>
    <cellStyle name="Comma 2 2 56 2 6" xfId="1423"/>
    <cellStyle name="Comma 2 2 57" xfId="229"/>
    <cellStyle name="Comma 2 2 57 2" xfId="1424"/>
    <cellStyle name="Comma 2 2 57 3" xfId="1425"/>
    <cellStyle name="Comma 2 2 57 4" xfId="1426"/>
    <cellStyle name="Comma 2 2 57 5" xfId="1427"/>
    <cellStyle name="Comma 2 2 57 6" xfId="1428"/>
    <cellStyle name="Comma 2 2 58" xfId="230"/>
    <cellStyle name="Comma 2 2 58 2" xfId="1429"/>
    <cellStyle name="Comma 2 2 58 3" xfId="1430"/>
    <cellStyle name="Comma 2 2 58 4" xfId="1431"/>
    <cellStyle name="Comma 2 2 58 5" xfId="1432"/>
    <cellStyle name="Comma 2 2 58 6" xfId="1433"/>
    <cellStyle name="Comma 2 2 59" xfId="231"/>
    <cellStyle name="Comma 2 2 59 2" xfId="1434"/>
    <cellStyle name="Comma 2 2 59 3" xfId="1435"/>
    <cellStyle name="Comma 2 2 59 4" xfId="1436"/>
    <cellStyle name="Comma 2 2 59 5" xfId="1437"/>
    <cellStyle name="Comma 2 2 59 6" xfId="1438"/>
    <cellStyle name="Comma 2 2 6" xfId="232"/>
    <cellStyle name="Comma 2 2 6 2" xfId="1439"/>
    <cellStyle name="Comma 2 2 6 3" xfId="1440"/>
    <cellStyle name="Comma 2 2 6 4" xfId="1441"/>
    <cellStyle name="Comma 2 2 6 5" xfId="1442"/>
    <cellStyle name="Comma 2 2 6 6" xfId="1443"/>
    <cellStyle name="Comma 2 2 60" xfId="233"/>
    <cellStyle name="Comma 2 2 60 2" xfId="1444"/>
    <cellStyle name="Comma 2 2 60 3" xfId="1445"/>
    <cellStyle name="Comma 2 2 60 4" xfId="1446"/>
    <cellStyle name="Comma 2 2 60 5" xfId="1447"/>
    <cellStyle name="Comma 2 2 60 6" xfId="1448"/>
    <cellStyle name="Comma 2 2 61" xfId="234"/>
    <cellStyle name="Comma 2 2 61 2" xfId="1449"/>
    <cellStyle name="Comma 2 2 61 3" xfId="1450"/>
    <cellStyle name="Comma 2 2 61 4" xfId="1451"/>
    <cellStyle name="Comma 2 2 61 5" xfId="1452"/>
    <cellStyle name="Comma 2 2 61 6" xfId="1453"/>
    <cellStyle name="Comma 2 2 62" xfId="235"/>
    <cellStyle name="Comma 2 2 62 2" xfId="1454"/>
    <cellStyle name="Comma 2 2 62 3" xfId="1455"/>
    <cellStyle name="Comma 2 2 62 4" xfId="1456"/>
    <cellStyle name="Comma 2 2 62 5" xfId="1457"/>
    <cellStyle name="Comma 2 2 62 6" xfId="1458"/>
    <cellStyle name="Comma 2 2 63" xfId="236"/>
    <cellStyle name="Comma 2 2 63 2" xfId="1459"/>
    <cellStyle name="Comma 2 2 63 3" xfId="1460"/>
    <cellStyle name="Comma 2 2 63 4" xfId="1461"/>
    <cellStyle name="Comma 2 2 63 5" xfId="1462"/>
    <cellStyle name="Comma 2 2 63 6" xfId="1463"/>
    <cellStyle name="Comma 2 2 64" xfId="237"/>
    <cellStyle name="Comma 2 2 64 2" xfId="1464"/>
    <cellStyle name="Comma 2 2 64 3" xfId="1465"/>
    <cellStyle name="Comma 2 2 64 4" xfId="1466"/>
    <cellStyle name="Comma 2 2 64 5" xfId="1467"/>
    <cellStyle name="Comma 2 2 64 6" xfId="1468"/>
    <cellStyle name="Comma 2 2 65" xfId="238"/>
    <cellStyle name="Comma 2 2 65 2" xfId="1469"/>
    <cellStyle name="Comma 2 2 65 3" xfId="1470"/>
    <cellStyle name="Comma 2 2 65 4" xfId="1471"/>
    <cellStyle name="Comma 2 2 65 5" xfId="1472"/>
    <cellStyle name="Comma 2 2 65 6" xfId="1473"/>
    <cellStyle name="Comma 2 2 66" xfId="239"/>
    <cellStyle name="Comma 2 2 66 2" xfId="1474"/>
    <cellStyle name="Comma 2 2 66 3" xfId="1475"/>
    <cellStyle name="Comma 2 2 66 4" xfId="1476"/>
    <cellStyle name="Comma 2 2 66 5" xfId="1477"/>
    <cellStyle name="Comma 2 2 66 6" xfId="1478"/>
    <cellStyle name="Comma 2 2 67" xfId="1479"/>
    <cellStyle name="Comma 2 2 68" xfId="1480"/>
    <cellStyle name="Comma 2 2 69" xfId="1481"/>
    <cellStyle name="Comma 2 2 7" xfId="240"/>
    <cellStyle name="Comma 2 2 7 2" xfId="1482"/>
    <cellStyle name="Comma 2 2 7 3" xfId="1483"/>
    <cellStyle name="Comma 2 2 7 4" xfId="1484"/>
    <cellStyle name="Comma 2 2 7 5" xfId="1485"/>
    <cellStyle name="Comma 2 2 7 6" xfId="1486"/>
    <cellStyle name="Comma 2 2 70" xfId="1487"/>
    <cellStyle name="Comma 2 2 71" xfId="1488"/>
    <cellStyle name="Comma 2 2 8" xfId="241"/>
    <cellStyle name="Comma 2 2 8 2" xfId="1489"/>
    <cellStyle name="Comma 2 2 8 3" xfId="1490"/>
    <cellStyle name="Comma 2 2 8 4" xfId="1491"/>
    <cellStyle name="Comma 2 2 8 5" xfId="1492"/>
    <cellStyle name="Comma 2 2 8 6" xfId="1493"/>
    <cellStyle name="Comma 2 2 9" xfId="242"/>
    <cellStyle name="Comma 2 2 9 2" xfId="1494"/>
    <cellStyle name="Comma 2 2 9 3" xfId="1495"/>
    <cellStyle name="Comma 2 2 9 4" xfId="1496"/>
    <cellStyle name="Comma 2 2 9 5" xfId="1497"/>
    <cellStyle name="Comma 2 2 9 6" xfId="1498"/>
    <cellStyle name="Comma 2 20" xfId="243"/>
    <cellStyle name="Comma 2 21" xfId="244"/>
    <cellStyle name="Comma 2 22" xfId="245"/>
    <cellStyle name="Comma 2 23" xfId="246"/>
    <cellStyle name="Comma 2 24" xfId="247"/>
    <cellStyle name="Comma 2 25" xfId="248"/>
    <cellStyle name="Comma 2 26" xfId="249"/>
    <cellStyle name="Comma 2 27" xfId="250"/>
    <cellStyle name="Comma 2 28" xfId="251"/>
    <cellStyle name="Comma 2 29" xfId="252"/>
    <cellStyle name="Comma 2 3" xfId="253"/>
    <cellStyle name="Comma 2 3 2" xfId="254"/>
    <cellStyle name="Comma 2 3 3" xfId="255"/>
    <cellStyle name="Comma 2 3 4" xfId="1499"/>
    <cellStyle name="Comma 2 3 5" xfId="1500"/>
    <cellStyle name="Comma 2 3 6" xfId="1501"/>
    <cellStyle name="Comma 2 3 7" xfId="1502"/>
    <cellStyle name="Comma 2 3 8" xfId="1503"/>
    <cellStyle name="Comma 2 30" xfId="256"/>
    <cellStyle name="Comma 2 31" xfId="257"/>
    <cellStyle name="Comma 2 32" xfId="258"/>
    <cellStyle name="Comma 2 33" xfId="259"/>
    <cellStyle name="Comma 2 34" xfId="260"/>
    <cellStyle name="Comma 2 35" xfId="261"/>
    <cellStyle name="Comma 2 36" xfId="262"/>
    <cellStyle name="Comma 2 37" xfId="263"/>
    <cellStyle name="Comma 2 38" xfId="264"/>
    <cellStyle name="Comma 2 39" xfId="265"/>
    <cellStyle name="Comma 2 4" xfId="266"/>
    <cellStyle name="Comma 2 4 2" xfId="267"/>
    <cellStyle name="Comma 2 4 3" xfId="268"/>
    <cellStyle name="Comma 2 4 4" xfId="1504"/>
    <cellStyle name="Comma 2 4 5" xfId="1505"/>
    <cellStyle name="Comma 2 4 6" xfId="1506"/>
    <cellStyle name="Comma 2 4 7" xfId="1507"/>
    <cellStyle name="Comma 2 4 8" xfId="1508"/>
    <cellStyle name="Comma 2 40" xfId="269"/>
    <cellStyle name="Comma 2 41" xfId="270"/>
    <cellStyle name="Comma 2 42" xfId="271"/>
    <cellStyle name="Comma 2 43" xfId="272"/>
    <cellStyle name="Comma 2 44" xfId="273"/>
    <cellStyle name="Comma 2 45" xfId="274"/>
    <cellStyle name="Comma 2 46" xfId="275"/>
    <cellStyle name="Comma 2 47" xfId="276"/>
    <cellStyle name="Comma 2 48" xfId="277"/>
    <cellStyle name="Comma 2 49" xfId="278"/>
    <cellStyle name="Comma 2 5" xfId="279"/>
    <cellStyle name="Comma 2 5 2" xfId="280"/>
    <cellStyle name="Comma 2 5 3" xfId="281"/>
    <cellStyle name="Comma 2 5 4" xfId="1509"/>
    <cellStyle name="Comma 2 5 5" xfId="1510"/>
    <cellStyle name="Comma 2 5 6" xfId="1511"/>
    <cellStyle name="Comma 2 5 7" xfId="1512"/>
    <cellStyle name="Comma 2 5 8" xfId="1513"/>
    <cellStyle name="Comma 2 50" xfId="282"/>
    <cellStyle name="Comma 2 51" xfId="283"/>
    <cellStyle name="Comma 2 52" xfId="284"/>
    <cellStyle name="Comma 2 53" xfId="285"/>
    <cellStyle name="Comma 2 54" xfId="286"/>
    <cellStyle name="Comma 2 55" xfId="287"/>
    <cellStyle name="Comma 2 56" xfId="288"/>
    <cellStyle name="Comma 2 57" xfId="289"/>
    <cellStyle name="Comma 2 58" xfId="290"/>
    <cellStyle name="Comma 2 59" xfId="291"/>
    <cellStyle name="Comma 2 6" xfId="292"/>
    <cellStyle name="Comma 2 6 2" xfId="293"/>
    <cellStyle name="Comma 2 6 3" xfId="294"/>
    <cellStyle name="Comma 2 6 4" xfId="1514"/>
    <cellStyle name="Comma 2 6 5" xfId="1515"/>
    <cellStyle name="Comma 2 6 6" xfId="1516"/>
    <cellStyle name="Comma 2 6 7" xfId="1517"/>
    <cellStyle name="Comma 2 6 8" xfId="1518"/>
    <cellStyle name="Comma 2 60" xfId="295"/>
    <cellStyle name="Comma 2 61" xfId="296"/>
    <cellStyle name="Comma 2 62" xfId="297"/>
    <cellStyle name="Comma 2 63" xfId="298"/>
    <cellStyle name="Comma 2 64" xfId="299"/>
    <cellStyle name="Comma 2 64 2" xfId="1519"/>
    <cellStyle name="Comma 2 64 3" xfId="1520"/>
    <cellStyle name="Comma 2 64 4" xfId="1521"/>
    <cellStyle name="Comma 2 64 5" xfId="1522"/>
    <cellStyle name="Comma 2 64 6" xfId="1523"/>
    <cellStyle name="Comma 2 65" xfId="300"/>
    <cellStyle name="Comma 2 65 2" xfId="1524"/>
    <cellStyle name="Comma 2 65 3" xfId="1525"/>
    <cellStyle name="Comma 2 65 4" xfId="1526"/>
    <cellStyle name="Comma 2 65 5" xfId="1527"/>
    <cellStyle name="Comma 2 65 6" xfId="1528"/>
    <cellStyle name="Comma 2 66" xfId="301"/>
    <cellStyle name="Comma 2 66 2" xfId="1529"/>
    <cellStyle name="Comma 2 66 3" xfId="1530"/>
    <cellStyle name="Comma 2 66 4" xfId="1531"/>
    <cellStyle name="Comma 2 66 5" xfId="1532"/>
    <cellStyle name="Comma 2 66 6" xfId="1533"/>
    <cellStyle name="Comma 2 67" xfId="302"/>
    <cellStyle name="Comma 2 68" xfId="303"/>
    <cellStyle name="Comma 2 69" xfId="304"/>
    <cellStyle name="Comma 2 7" xfId="305"/>
    <cellStyle name="Comma 2 7 2" xfId="306"/>
    <cellStyle name="Comma 2 7 3" xfId="307"/>
    <cellStyle name="Comma 2 7 4" xfId="1534"/>
    <cellStyle name="Comma 2 7 5" xfId="1535"/>
    <cellStyle name="Comma 2 7 6" xfId="1536"/>
    <cellStyle name="Comma 2 7 7" xfId="1537"/>
    <cellStyle name="Comma 2 7 8" xfId="1538"/>
    <cellStyle name="Comma 2 70" xfId="308"/>
    <cellStyle name="Comma 2 71" xfId="309"/>
    <cellStyle name="Comma 2 72" xfId="310"/>
    <cellStyle name="Comma 2 73" xfId="311"/>
    <cellStyle name="Comma 2 74" xfId="312"/>
    <cellStyle name="Comma 2 75" xfId="313"/>
    <cellStyle name="Comma 2 76" xfId="314"/>
    <cellStyle name="Comma 2 76 2" xfId="1539"/>
    <cellStyle name="Comma 2 76 3" xfId="1540"/>
    <cellStyle name="Comma 2 76 4" xfId="1541"/>
    <cellStyle name="Comma 2 76 5" xfId="1542"/>
    <cellStyle name="Comma 2 76 6" xfId="1543"/>
    <cellStyle name="Comma 2 8" xfId="315"/>
    <cellStyle name="Comma 2 8 2" xfId="316"/>
    <cellStyle name="Comma 2 8 3" xfId="317"/>
    <cellStyle name="Comma 2 8 4" xfId="1544"/>
    <cellStyle name="Comma 2 8 5" xfId="1545"/>
    <cellStyle name="Comma 2 8 6" xfId="1546"/>
    <cellStyle name="Comma 2 8 7" xfId="1547"/>
    <cellStyle name="Comma 2 8 8" xfId="1548"/>
    <cellStyle name="Comma 2 9" xfId="318"/>
    <cellStyle name="Comma 2 9 2" xfId="319"/>
    <cellStyle name="Comma 2 9 3" xfId="320"/>
    <cellStyle name="Comma 2 9 4" xfId="1549"/>
    <cellStyle name="Comma 2 9 5" xfId="1550"/>
    <cellStyle name="Comma 2 9 6" xfId="1551"/>
    <cellStyle name="Comma 2 9 7" xfId="1552"/>
    <cellStyle name="Comma 2 9 8" xfId="1553"/>
    <cellStyle name="Comma 20" xfId="321"/>
    <cellStyle name="Comma 20 2" xfId="1554"/>
    <cellStyle name="Comma 20 3" xfId="1555"/>
    <cellStyle name="Comma 20 4" xfId="1556"/>
    <cellStyle name="Comma 20 5" xfId="1557"/>
    <cellStyle name="Comma 20 6" xfId="1558"/>
    <cellStyle name="Comma 21" xfId="322"/>
    <cellStyle name="Comma 21 2" xfId="1559"/>
    <cellStyle name="Comma 21 3" xfId="1560"/>
    <cellStyle name="Comma 21 4" xfId="1561"/>
    <cellStyle name="Comma 21 5" xfId="1562"/>
    <cellStyle name="Comma 21 6" xfId="1563"/>
    <cellStyle name="Comma 22" xfId="323"/>
    <cellStyle name="Comma 22 2" xfId="1564"/>
    <cellStyle name="Comma 22 3" xfId="1565"/>
    <cellStyle name="Comma 22 4" xfId="1566"/>
    <cellStyle name="Comma 22 5" xfId="1567"/>
    <cellStyle name="Comma 22 6" xfId="1568"/>
    <cellStyle name="Comma 23" xfId="324"/>
    <cellStyle name="Comma 23 2" xfId="1569"/>
    <cellStyle name="Comma 23 3" xfId="1570"/>
    <cellStyle name="Comma 23 4" xfId="1571"/>
    <cellStyle name="Comma 23 5" xfId="1572"/>
    <cellStyle name="Comma 23 6" xfId="1573"/>
    <cellStyle name="Comma 24" xfId="325"/>
    <cellStyle name="Comma 24 2" xfId="1574"/>
    <cellStyle name="Comma 24 3" xfId="1575"/>
    <cellStyle name="Comma 24 4" xfId="1576"/>
    <cellStyle name="Comma 24 5" xfId="1577"/>
    <cellStyle name="Comma 24 6" xfId="1578"/>
    <cellStyle name="Comma 25" xfId="326"/>
    <cellStyle name="Comma 25 2" xfId="1579"/>
    <cellStyle name="Comma 25 3" xfId="1580"/>
    <cellStyle name="Comma 25 4" xfId="1581"/>
    <cellStyle name="Comma 25 5" xfId="1582"/>
    <cellStyle name="Comma 25 6" xfId="1583"/>
    <cellStyle name="Comma 26" xfId="327"/>
    <cellStyle name="Comma 26 2" xfId="1584"/>
    <cellStyle name="Comma 26 3" xfId="1585"/>
    <cellStyle name="Comma 26 4" xfId="1586"/>
    <cellStyle name="Comma 26 5" xfId="1587"/>
    <cellStyle name="Comma 26 6" xfId="1588"/>
    <cellStyle name="Comma 27" xfId="328"/>
    <cellStyle name="Comma 27 2" xfId="1589"/>
    <cellStyle name="Comma 27 3" xfId="1590"/>
    <cellStyle name="Comma 27 4" xfId="1591"/>
    <cellStyle name="Comma 27 5" xfId="1592"/>
    <cellStyle name="Comma 27 6" xfId="1593"/>
    <cellStyle name="Comma 28" xfId="329"/>
    <cellStyle name="Comma 28 2" xfId="1594"/>
    <cellStyle name="Comma 28 3" xfId="1595"/>
    <cellStyle name="Comma 28 4" xfId="1596"/>
    <cellStyle name="Comma 28 5" xfId="1597"/>
    <cellStyle name="Comma 28 6" xfId="1598"/>
    <cellStyle name="Comma 29" xfId="330"/>
    <cellStyle name="Comma 29 2" xfId="1599"/>
    <cellStyle name="Comma 29 3" xfId="1600"/>
    <cellStyle name="Comma 29 4" xfId="1601"/>
    <cellStyle name="Comma 29 5" xfId="1602"/>
    <cellStyle name="Comma 29 6" xfId="1603"/>
    <cellStyle name="Comma 3" xfId="331"/>
    <cellStyle name="Comma 3 10" xfId="1604"/>
    <cellStyle name="Comma 3 2" xfId="332"/>
    <cellStyle name="Comma 3 2 2" xfId="1605"/>
    <cellStyle name="Comma 3 2 3" xfId="1606"/>
    <cellStyle name="Comma 3 2 4" xfId="1607"/>
    <cellStyle name="Comma 3 2 5" xfId="1608"/>
    <cellStyle name="Comma 3 2 6" xfId="1609"/>
    <cellStyle name="Comma 3 3" xfId="333"/>
    <cellStyle name="Comma 3 3 2" xfId="1610"/>
    <cellStyle name="Comma 3 3 3" xfId="1611"/>
    <cellStyle name="Comma 3 3 4" xfId="1612"/>
    <cellStyle name="Comma 3 3 5" xfId="1613"/>
    <cellStyle name="Comma 3 3 6" xfId="1614"/>
    <cellStyle name="Comma 3 4" xfId="334"/>
    <cellStyle name="Comma 3 5" xfId="335"/>
    <cellStyle name="Comma 3 6" xfId="1615"/>
    <cellStyle name="Comma 3 7" xfId="1616"/>
    <cellStyle name="Comma 3 8" xfId="1617"/>
    <cellStyle name="Comma 3 9" xfId="1618"/>
    <cellStyle name="Comma 30" xfId="336"/>
    <cellStyle name="Comma 30 2" xfId="1619"/>
    <cellStyle name="Comma 30 3" xfId="1620"/>
    <cellStyle name="Comma 30 4" xfId="1621"/>
    <cellStyle name="Comma 30 5" xfId="1622"/>
    <cellStyle name="Comma 30 6" xfId="1623"/>
    <cellStyle name="Comma 31" xfId="337"/>
    <cellStyle name="Comma 31 2" xfId="1624"/>
    <cellStyle name="Comma 31 3" xfId="1625"/>
    <cellStyle name="Comma 31 4" xfId="1626"/>
    <cellStyle name="Comma 31 5" xfId="1627"/>
    <cellStyle name="Comma 31 6" xfId="1628"/>
    <cellStyle name="Comma 32" xfId="338"/>
    <cellStyle name="Comma 32 2" xfId="1629"/>
    <cellStyle name="Comma 32 3" xfId="1630"/>
    <cellStyle name="Comma 32 4" xfId="1631"/>
    <cellStyle name="Comma 32 5" xfId="1632"/>
    <cellStyle name="Comma 32 6" xfId="1633"/>
    <cellStyle name="Comma 33" xfId="339"/>
    <cellStyle name="Comma 33 2" xfId="1634"/>
    <cellStyle name="Comma 33 3" xfId="1635"/>
    <cellStyle name="Comma 33 4" xfId="1636"/>
    <cellStyle name="Comma 33 5" xfId="1637"/>
    <cellStyle name="Comma 33 6" xfId="1638"/>
    <cellStyle name="Comma 34" xfId="340"/>
    <cellStyle name="Comma 34 2" xfId="1639"/>
    <cellStyle name="Comma 34 3" xfId="1640"/>
    <cellStyle name="Comma 34 4" xfId="1641"/>
    <cellStyle name="Comma 34 5" xfId="1642"/>
    <cellStyle name="Comma 34 6" xfId="1643"/>
    <cellStyle name="Comma 35" xfId="341"/>
    <cellStyle name="Comma 35 2" xfId="1644"/>
    <cellStyle name="Comma 35 3" xfId="1645"/>
    <cellStyle name="Comma 35 4" xfId="1646"/>
    <cellStyle name="Comma 35 5" xfId="1647"/>
    <cellStyle name="Comma 35 6" xfId="1648"/>
    <cellStyle name="Comma 36" xfId="342"/>
    <cellStyle name="Comma 36 2" xfId="1649"/>
    <cellStyle name="Comma 36 3" xfId="1650"/>
    <cellStyle name="Comma 36 4" xfId="1651"/>
    <cellStyle name="Comma 36 5" xfId="1652"/>
    <cellStyle name="Comma 36 6" xfId="1653"/>
    <cellStyle name="Comma 37" xfId="343"/>
    <cellStyle name="Comma 37 2" xfId="1654"/>
    <cellStyle name="Comma 37 3" xfId="1655"/>
    <cellStyle name="Comma 37 4" xfId="1656"/>
    <cellStyle name="Comma 37 5" xfId="1657"/>
    <cellStyle name="Comma 37 6" xfId="1658"/>
    <cellStyle name="Comma 38" xfId="344"/>
    <cellStyle name="Comma 38 2" xfId="1659"/>
    <cellStyle name="Comma 38 3" xfId="1660"/>
    <cellStyle name="Comma 38 4" xfId="1661"/>
    <cellStyle name="Comma 38 5" xfId="1662"/>
    <cellStyle name="Comma 38 6" xfId="1663"/>
    <cellStyle name="Comma 39" xfId="345"/>
    <cellStyle name="Comma 39 2" xfId="1664"/>
    <cellStyle name="Comma 39 3" xfId="1665"/>
    <cellStyle name="Comma 39 4" xfId="1666"/>
    <cellStyle name="Comma 39 5" xfId="1667"/>
    <cellStyle name="Comma 39 6" xfId="1668"/>
    <cellStyle name="Comma 4" xfId="346"/>
    <cellStyle name="Comma 4 2" xfId="1669"/>
    <cellStyle name="Comma 4 3" xfId="1670"/>
    <cellStyle name="Comma 4 4" xfId="1671"/>
    <cellStyle name="Comma 4 5" xfId="1672"/>
    <cellStyle name="Comma 4 6" xfId="1673"/>
    <cellStyle name="Comma 40" xfId="347"/>
    <cellStyle name="Comma 40 2" xfId="1674"/>
    <cellStyle name="Comma 40 3" xfId="1675"/>
    <cellStyle name="Comma 40 4" xfId="1676"/>
    <cellStyle name="Comma 40 5" xfId="1677"/>
    <cellStyle name="Comma 40 6" xfId="1678"/>
    <cellStyle name="Comma 41" xfId="348"/>
    <cellStyle name="Comma 41 2" xfId="1679"/>
    <cellStyle name="Comma 41 3" xfId="1680"/>
    <cellStyle name="Comma 41 4" xfId="1681"/>
    <cellStyle name="Comma 41 5" xfId="1682"/>
    <cellStyle name="Comma 41 6" xfId="1683"/>
    <cellStyle name="Comma 42" xfId="349"/>
    <cellStyle name="Comma 42 2" xfId="1684"/>
    <cellStyle name="Comma 42 3" xfId="1685"/>
    <cellStyle name="Comma 42 4" xfId="1686"/>
    <cellStyle name="Comma 42 5" xfId="1687"/>
    <cellStyle name="Comma 42 6" xfId="1688"/>
    <cellStyle name="Comma 43" xfId="350"/>
    <cellStyle name="Comma 43 2" xfId="1689"/>
    <cellStyle name="Comma 43 3" xfId="1690"/>
    <cellStyle name="Comma 43 4" xfId="1691"/>
    <cellStyle name="Comma 43 5" xfId="1692"/>
    <cellStyle name="Comma 43 6" xfId="1693"/>
    <cellStyle name="Comma 44" xfId="351"/>
    <cellStyle name="Comma 44 2" xfId="1694"/>
    <cellStyle name="Comma 44 3" xfId="1695"/>
    <cellStyle name="Comma 44 4" xfId="1696"/>
    <cellStyle name="Comma 44 5" xfId="1697"/>
    <cellStyle name="Comma 44 6" xfId="1698"/>
    <cellStyle name="Comma 45" xfId="352"/>
    <cellStyle name="Comma 45 2" xfId="1699"/>
    <cellStyle name="Comma 45 3" xfId="1700"/>
    <cellStyle name="Comma 45 4" xfId="1701"/>
    <cellStyle name="Comma 45 5" xfId="1702"/>
    <cellStyle name="Comma 45 6" xfId="1703"/>
    <cellStyle name="Comma 46" xfId="353"/>
    <cellStyle name="Comma 46 2" xfId="1704"/>
    <cellStyle name="Comma 46 3" xfId="1705"/>
    <cellStyle name="Comma 46 4" xfId="1706"/>
    <cellStyle name="Comma 46 5" xfId="1707"/>
    <cellStyle name="Comma 46 6" xfId="1708"/>
    <cellStyle name="Comma 47" xfId="354"/>
    <cellStyle name="Comma 47 2" xfId="1709"/>
    <cellStyle name="Comma 47 3" xfId="1710"/>
    <cellStyle name="Comma 47 4" xfId="1711"/>
    <cellStyle name="Comma 47 5" xfId="1712"/>
    <cellStyle name="Comma 47 6" xfId="1713"/>
    <cellStyle name="Comma 48" xfId="355"/>
    <cellStyle name="Comma 48 2" xfId="1714"/>
    <cellStyle name="Comma 48 3" xfId="1715"/>
    <cellStyle name="Comma 48 4" xfId="1716"/>
    <cellStyle name="Comma 48 5" xfId="1717"/>
    <cellStyle name="Comma 48 6" xfId="1718"/>
    <cellStyle name="Comma 49" xfId="356"/>
    <cellStyle name="Comma 49 2" xfId="1719"/>
    <cellStyle name="Comma 49 3" xfId="1720"/>
    <cellStyle name="Comma 49 4" xfId="1721"/>
    <cellStyle name="Comma 49 5" xfId="1722"/>
    <cellStyle name="Comma 49 6" xfId="1723"/>
    <cellStyle name="Comma 5" xfId="357"/>
    <cellStyle name="Comma 5 2" xfId="1724"/>
    <cellStyle name="Comma 5 3" xfId="1725"/>
    <cellStyle name="Comma 5 4" xfId="1726"/>
    <cellStyle name="Comma 5 5" xfId="1727"/>
    <cellStyle name="Comma 5 6" xfId="1728"/>
    <cellStyle name="Comma 50" xfId="358"/>
    <cellStyle name="Comma 50 2" xfId="1729"/>
    <cellStyle name="Comma 50 3" xfId="1730"/>
    <cellStyle name="Comma 50 4" xfId="1731"/>
    <cellStyle name="Comma 50 5" xfId="1732"/>
    <cellStyle name="Comma 50 6" xfId="1733"/>
    <cellStyle name="Comma 51" xfId="359"/>
    <cellStyle name="Comma 51 2" xfId="1734"/>
    <cellStyle name="Comma 51 3" xfId="1735"/>
    <cellStyle name="Comma 51 4" xfId="1736"/>
    <cellStyle name="Comma 51 5" xfId="1737"/>
    <cellStyle name="Comma 51 6" xfId="1738"/>
    <cellStyle name="Comma 52" xfId="360"/>
    <cellStyle name="Comma 52 2" xfId="1739"/>
    <cellStyle name="Comma 52 3" xfId="1740"/>
    <cellStyle name="Comma 52 4" xfId="1741"/>
    <cellStyle name="Comma 52 5" xfId="1742"/>
    <cellStyle name="Comma 52 6" xfId="1743"/>
    <cellStyle name="Comma 53" xfId="361"/>
    <cellStyle name="Comma 53 2" xfId="1744"/>
    <cellStyle name="Comma 53 3" xfId="1745"/>
    <cellStyle name="Comma 53 4" xfId="1746"/>
    <cellStyle name="Comma 53 5" xfId="1747"/>
    <cellStyle name="Comma 53 6" xfId="1748"/>
    <cellStyle name="Comma 54" xfId="362"/>
    <cellStyle name="Comma 54 2" xfId="1749"/>
    <cellStyle name="Comma 54 3" xfId="1750"/>
    <cellStyle name="Comma 54 4" xfId="1751"/>
    <cellStyle name="Comma 54 5" xfId="1752"/>
    <cellStyle name="Comma 54 6" xfId="1753"/>
    <cellStyle name="Comma 55" xfId="363"/>
    <cellStyle name="Comma 55 2" xfId="1754"/>
    <cellStyle name="Comma 55 3" xfId="1755"/>
    <cellStyle name="Comma 55 4" xfId="1756"/>
    <cellStyle name="Comma 55 5" xfId="1757"/>
    <cellStyle name="Comma 55 6" xfId="1758"/>
    <cellStyle name="Comma 56" xfId="364"/>
    <cellStyle name="Comma 56 2" xfId="1759"/>
    <cellStyle name="Comma 56 3" xfId="1760"/>
    <cellStyle name="Comma 56 4" xfId="1761"/>
    <cellStyle name="Comma 56 5" xfId="1762"/>
    <cellStyle name="Comma 56 6" xfId="1763"/>
    <cellStyle name="Comma 57" xfId="365"/>
    <cellStyle name="Comma 57 2" xfId="366"/>
    <cellStyle name="Comma 57 2 2" xfId="1764"/>
    <cellStyle name="Comma 57 2 3" xfId="1765"/>
    <cellStyle name="Comma 57 2 4" xfId="1766"/>
    <cellStyle name="Comma 57 2 5" xfId="1767"/>
    <cellStyle name="Comma 57 2 6" xfId="1768"/>
    <cellStyle name="Comma 57 3" xfId="367"/>
    <cellStyle name="Comma 57 3 2" xfId="1769"/>
    <cellStyle name="Comma 57 3 3" xfId="1770"/>
    <cellStyle name="Comma 57 3 4" xfId="1771"/>
    <cellStyle name="Comma 57 3 5" xfId="1772"/>
    <cellStyle name="Comma 57 3 6" xfId="1773"/>
    <cellStyle name="Comma 57 4" xfId="368"/>
    <cellStyle name="Comma 57 4 2" xfId="1774"/>
    <cellStyle name="Comma 57 4 3" xfId="1775"/>
    <cellStyle name="Comma 57 4 4" xfId="1776"/>
    <cellStyle name="Comma 57 4 5" xfId="1777"/>
    <cellStyle name="Comma 57 4 6" xfId="1778"/>
    <cellStyle name="Comma 58" xfId="369"/>
    <cellStyle name="Comma 58 2" xfId="1779"/>
    <cellStyle name="Comma 58 3" xfId="1780"/>
    <cellStyle name="Comma 58 4" xfId="1781"/>
    <cellStyle name="Comma 58 5" xfId="1782"/>
    <cellStyle name="Comma 58 6" xfId="1783"/>
    <cellStyle name="Comma 6" xfId="370"/>
    <cellStyle name="Comma 6 2" xfId="1784"/>
    <cellStyle name="Comma 6 3" xfId="1785"/>
    <cellStyle name="Comma 6 4" xfId="1786"/>
    <cellStyle name="Comma 6 5" xfId="1787"/>
    <cellStyle name="Comma 6 6" xfId="1788"/>
    <cellStyle name="Comma 63" xfId="371"/>
    <cellStyle name="Comma 63 2" xfId="1789"/>
    <cellStyle name="Comma 63 3" xfId="1790"/>
    <cellStyle name="Comma 63 4" xfId="1791"/>
    <cellStyle name="Comma 63 5" xfId="1792"/>
    <cellStyle name="Comma 63 6" xfId="1793"/>
    <cellStyle name="Comma 66" xfId="372"/>
    <cellStyle name="Comma 66 2" xfId="1794"/>
    <cellStyle name="Comma 66 3" xfId="1795"/>
    <cellStyle name="Comma 66 4" xfId="1796"/>
    <cellStyle name="Comma 66 5" xfId="1797"/>
    <cellStyle name="Comma 66 6" xfId="1798"/>
    <cellStyle name="Comma 7" xfId="373"/>
    <cellStyle name="Comma 7 2" xfId="374"/>
    <cellStyle name="Comma 7 3" xfId="375"/>
    <cellStyle name="Comma 7 4" xfId="1799"/>
    <cellStyle name="Comma 7 5" xfId="1800"/>
    <cellStyle name="Comma 7 6" xfId="1801"/>
    <cellStyle name="Comma 7 7" xfId="1802"/>
    <cellStyle name="Comma 7 8" xfId="1803"/>
    <cellStyle name="Comma 8" xfId="376"/>
    <cellStyle name="Comma 8 2" xfId="1804"/>
    <cellStyle name="Comma 8 3" xfId="1805"/>
    <cellStyle name="Comma 8 4" xfId="1806"/>
    <cellStyle name="Comma 8 5" xfId="1807"/>
    <cellStyle name="Comma 8 6" xfId="1808"/>
    <cellStyle name="Comma 9" xfId="377"/>
    <cellStyle name="Comma 9 2" xfId="378"/>
    <cellStyle name="Comma 9 3" xfId="379"/>
    <cellStyle name="Comma 9 4" xfId="1809"/>
    <cellStyle name="Comma 9 5" xfId="1810"/>
    <cellStyle name="Comma 9 6" xfId="1811"/>
    <cellStyle name="Comma 9 7" xfId="1812"/>
    <cellStyle name="Comma 9 8" xfId="1813"/>
    <cellStyle name="Hyperlink" xfId="380" builtinId="8"/>
    <cellStyle name="Normal" xfId="0" builtinId="0"/>
    <cellStyle name="Normal 10" xfId="381"/>
    <cellStyle name="Normal 100" xfId="382"/>
    <cellStyle name="Normal 101" xfId="383"/>
    <cellStyle name="Normal 102" xfId="384"/>
    <cellStyle name="Normal 103" xfId="385"/>
    <cellStyle name="Normal 104" xfId="386"/>
    <cellStyle name="Normal 105" xfId="387"/>
    <cellStyle name="Normal 106" xfId="388"/>
    <cellStyle name="Normal 107" xfId="389"/>
    <cellStyle name="Normal 108" xfId="390"/>
    <cellStyle name="Normal 109" xfId="391"/>
    <cellStyle name="Normal 11" xfId="392"/>
    <cellStyle name="Normal 110" xfId="393"/>
    <cellStyle name="Normal 111" xfId="394"/>
    <cellStyle name="Normal 112" xfId="395"/>
    <cellStyle name="Normal 113" xfId="396"/>
    <cellStyle name="Normal 114" xfId="397"/>
    <cellStyle name="Normal 115" xfId="398"/>
    <cellStyle name="Normal 116" xfId="399"/>
    <cellStyle name="Normal 117" xfId="400"/>
    <cellStyle name="Normal 118" xfId="401"/>
    <cellStyle name="Normal 119" xfId="402"/>
    <cellStyle name="Normal 12" xfId="403"/>
    <cellStyle name="Normal 12 2" xfId="404"/>
    <cellStyle name="Normal 120" xfId="405"/>
    <cellStyle name="Normal 121" xfId="406"/>
    <cellStyle name="Normal 122" xfId="407"/>
    <cellStyle name="Normal 124" xfId="408"/>
    <cellStyle name="Normal 125" xfId="409"/>
    <cellStyle name="Normal 126" xfId="410"/>
    <cellStyle name="Normal 127" xfId="411"/>
    <cellStyle name="Normal 129" xfId="412"/>
    <cellStyle name="Normal 13" xfId="413"/>
    <cellStyle name="Normal 13 2" xfId="414"/>
    <cellStyle name="Normal 13 3" xfId="415"/>
    <cellStyle name="Normal 13 4" xfId="416"/>
    <cellStyle name="Normal 130" xfId="417"/>
    <cellStyle name="Normal 131" xfId="418"/>
    <cellStyle name="Normal 132" xfId="419"/>
    <cellStyle name="Normal 133" xfId="420"/>
    <cellStyle name="Normal 134" xfId="421"/>
    <cellStyle name="Normal 135" xfId="422"/>
    <cellStyle name="Normal 136" xfId="423"/>
    <cellStyle name="Normal 137" xfId="424"/>
    <cellStyle name="Normal 138" xfId="425"/>
    <cellStyle name="Normal 139" xfId="426"/>
    <cellStyle name="Normal 14" xfId="427"/>
    <cellStyle name="Normal 140" xfId="428"/>
    <cellStyle name="Normal 142" xfId="429"/>
    <cellStyle name="Normal 143" xfId="430"/>
    <cellStyle name="Normal 144" xfId="431"/>
    <cellStyle name="Normal 145" xfId="432"/>
    <cellStyle name="Normal 146" xfId="433"/>
    <cellStyle name="Normal 147" xfId="434"/>
    <cellStyle name="Normal 148" xfId="435"/>
    <cellStyle name="Normal 149" xfId="436"/>
    <cellStyle name="Normal 15" xfId="437"/>
    <cellStyle name="Normal 15 2" xfId="438"/>
    <cellStyle name="Normal 150" xfId="439"/>
    <cellStyle name="Normal 151" xfId="440"/>
    <cellStyle name="Normal 152" xfId="441"/>
    <cellStyle name="Normal 153" xfId="442"/>
    <cellStyle name="Normal 155" xfId="443"/>
    <cellStyle name="Normal 156" xfId="444"/>
    <cellStyle name="Normal 157" xfId="445"/>
    <cellStyle name="Normal 158" xfId="446"/>
    <cellStyle name="Normal 159" xfId="447"/>
    <cellStyle name="Normal 16" xfId="448"/>
    <cellStyle name="Normal 160" xfId="449"/>
    <cellStyle name="Normal 161" xfId="450"/>
    <cellStyle name="Normal 162" xfId="451"/>
    <cellStyle name="Normal 163" xfId="452"/>
    <cellStyle name="Normal 164" xfId="453"/>
    <cellStyle name="Normal 165" xfId="454"/>
    <cellStyle name="Normal 166" xfId="455"/>
    <cellStyle name="Normal 167" xfId="456"/>
    <cellStyle name="Normal 168" xfId="457"/>
    <cellStyle name="Normal 169" xfId="458"/>
    <cellStyle name="Normal 17" xfId="459"/>
    <cellStyle name="Normal 170" xfId="460"/>
    <cellStyle name="Normal 171" xfId="461"/>
    <cellStyle name="Normal 172" xfId="462"/>
    <cellStyle name="Normal 173" xfId="463"/>
    <cellStyle name="Normal 174" xfId="464"/>
    <cellStyle name="Normal 175" xfId="465"/>
    <cellStyle name="Normal 176" xfId="466"/>
    <cellStyle name="Normal 177" xfId="467"/>
    <cellStyle name="Normal 178" xfId="468"/>
    <cellStyle name="Normal 179" xfId="469"/>
    <cellStyle name="Normal 18" xfId="470"/>
    <cellStyle name="Normal 180" xfId="471"/>
    <cellStyle name="Normal 181" xfId="472"/>
    <cellStyle name="Normal 182" xfId="473"/>
    <cellStyle name="Normal 183" xfId="474"/>
    <cellStyle name="Normal 184" xfId="475"/>
    <cellStyle name="Normal 185" xfId="476"/>
    <cellStyle name="Normal 186" xfId="477"/>
    <cellStyle name="Normal 187" xfId="478"/>
    <cellStyle name="Normal 188" xfId="479"/>
    <cellStyle name="Normal 189" xfId="480"/>
    <cellStyle name="Normal 19" xfId="481"/>
    <cellStyle name="Normal 190" xfId="482"/>
    <cellStyle name="Normal 191" xfId="483"/>
    <cellStyle name="Normal 192" xfId="484"/>
    <cellStyle name="Normal 193" xfId="485"/>
    <cellStyle name="Normal 194" xfId="486"/>
    <cellStyle name="Normal 195" xfId="487"/>
    <cellStyle name="Normal 196" xfId="488"/>
    <cellStyle name="Normal 197" xfId="489"/>
    <cellStyle name="Normal 198" xfId="490"/>
    <cellStyle name="Normal 199" xfId="491"/>
    <cellStyle name="Normal 2" xfId="492"/>
    <cellStyle name="Normal 2 10" xfId="493"/>
    <cellStyle name="Normal 2 11" xfId="494"/>
    <cellStyle name="Normal 2 12" xfId="495"/>
    <cellStyle name="Normal 2 13" xfId="496"/>
    <cellStyle name="Normal 2 14" xfId="497"/>
    <cellStyle name="Normal 2 15" xfId="498"/>
    <cellStyle name="Normal 2 16" xfId="499"/>
    <cellStyle name="Normal 2 17" xfId="500"/>
    <cellStyle name="Normal 2 18" xfId="501"/>
    <cellStyle name="Normal 2 19" xfId="502"/>
    <cellStyle name="Normal 2 2" xfId="503"/>
    <cellStyle name="Normal 2 2 10" xfId="1814"/>
    <cellStyle name="Normal 2 2 11" xfId="1815"/>
    <cellStyle name="Normal 2 2 12" xfId="1816"/>
    <cellStyle name="Normal 2 2 2" xfId="504"/>
    <cellStyle name="Normal 2 2 3" xfId="505"/>
    <cellStyle name="Normal 2 2 4" xfId="506"/>
    <cellStyle name="Normal 2 2 5" xfId="507"/>
    <cellStyle name="Normal 2 2 6" xfId="508"/>
    <cellStyle name="Normal 2 2 7" xfId="509"/>
    <cellStyle name="Normal 2 2 8" xfId="1817"/>
    <cellStyle name="Normal 2 2 9" xfId="1818"/>
    <cellStyle name="Normal 2 20" xfId="510"/>
    <cellStyle name="Normal 2 21" xfId="511"/>
    <cellStyle name="Normal 2 21 2" xfId="512"/>
    <cellStyle name="Normal 2 22" xfId="513"/>
    <cellStyle name="Normal 2 23" xfId="514"/>
    <cellStyle name="Normal 2 24" xfId="515"/>
    <cellStyle name="Normal 2 24 10" xfId="516"/>
    <cellStyle name="Normal 2 24 11" xfId="517"/>
    <cellStyle name="Normal 2 24 12" xfId="518"/>
    <cellStyle name="Normal 2 24 2" xfId="519"/>
    <cellStyle name="Normal 2 24 3" xfId="520"/>
    <cellStyle name="Normal 2 24 4" xfId="521"/>
    <cellStyle name="Normal 2 24 5" xfId="522"/>
    <cellStyle name="Normal 2 24 6" xfId="523"/>
    <cellStyle name="Normal 2 24 7" xfId="524"/>
    <cellStyle name="Normal 2 24 8" xfId="525"/>
    <cellStyle name="Normal 2 24 9" xfId="526"/>
    <cellStyle name="Normal 2 25" xfId="527"/>
    <cellStyle name="Normal 2 26" xfId="528"/>
    <cellStyle name="Normal 2 27" xfId="529"/>
    <cellStyle name="Normal 2 28" xfId="530"/>
    <cellStyle name="Normal 2 29" xfId="531"/>
    <cellStyle name="Normal 2 3" xfId="532"/>
    <cellStyle name="Normal 2 3 2" xfId="533"/>
    <cellStyle name="Normal 2 3 3" xfId="534"/>
    <cellStyle name="Normal 2 3 4" xfId="535"/>
    <cellStyle name="Normal 2 3 5" xfId="536"/>
    <cellStyle name="Normal 2 3 6" xfId="537"/>
    <cellStyle name="Normal 2 3 7" xfId="538"/>
    <cellStyle name="Normal 2 30" xfId="539"/>
    <cellStyle name="Normal 2 31" xfId="540"/>
    <cellStyle name="Normal 2 32" xfId="541"/>
    <cellStyle name="Normal 2 33" xfId="542"/>
    <cellStyle name="Normal 2 34" xfId="543"/>
    <cellStyle name="Normal 2 35" xfId="544"/>
    <cellStyle name="Normal 2 36" xfId="545"/>
    <cellStyle name="Normal 2 37" xfId="546"/>
    <cellStyle name="Normal 2 38" xfId="547"/>
    <cellStyle name="Normal 2 39" xfId="548"/>
    <cellStyle name="Normal 2 4" xfId="549"/>
    <cellStyle name="Normal 2 40" xfId="550"/>
    <cellStyle name="Normal 2 41" xfId="551"/>
    <cellStyle name="Normal 2 42" xfId="552"/>
    <cellStyle name="Normal 2 43" xfId="553"/>
    <cellStyle name="Normal 2 44" xfId="554"/>
    <cellStyle name="Normal 2 45" xfId="555"/>
    <cellStyle name="Normal 2 46" xfId="556"/>
    <cellStyle name="Normal 2 47" xfId="557"/>
    <cellStyle name="Normal 2 48" xfId="558"/>
    <cellStyle name="Normal 2 49" xfId="559"/>
    <cellStyle name="Normal 2 5" xfId="560"/>
    <cellStyle name="Normal 2 50" xfId="561"/>
    <cellStyle name="Normal 2 51" xfId="562"/>
    <cellStyle name="Normal 2 52" xfId="563"/>
    <cellStyle name="Normal 2 53" xfId="564"/>
    <cellStyle name="Normal 2 54" xfId="565"/>
    <cellStyle name="Normal 2 55" xfId="566"/>
    <cellStyle name="Normal 2 56" xfId="567"/>
    <cellStyle name="Normal 2 57" xfId="568"/>
    <cellStyle name="Normal 2 58" xfId="569"/>
    <cellStyle name="Normal 2 59" xfId="570"/>
    <cellStyle name="Normal 2 6" xfId="571"/>
    <cellStyle name="Normal 2 60" xfId="572"/>
    <cellStyle name="Normal 2 61" xfId="573"/>
    <cellStyle name="Normal 2 62" xfId="574"/>
    <cellStyle name="Normal 2 63" xfId="575"/>
    <cellStyle name="Normal 2 64" xfId="576"/>
    <cellStyle name="Normal 2 65" xfId="577"/>
    <cellStyle name="Normal 2 66" xfId="578"/>
    <cellStyle name="Normal 2 67" xfId="579"/>
    <cellStyle name="Normal 2 68" xfId="580"/>
    <cellStyle name="Normal 2 69" xfId="581"/>
    <cellStyle name="Normal 2 7" xfId="582"/>
    <cellStyle name="Normal 2 70" xfId="583"/>
    <cellStyle name="Normal 2 71" xfId="584"/>
    <cellStyle name="Normal 2 72" xfId="585"/>
    <cellStyle name="Normal 2 73" xfId="586"/>
    <cellStyle name="Normal 2 74" xfId="587"/>
    <cellStyle name="Normal 2 75" xfId="588"/>
    <cellStyle name="Normal 2 76" xfId="589"/>
    <cellStyle name="Normal 2 77" xfId="590"/>
    <cellStyle name="Normal 2 78" xfId="591"/>
    <cellStyle name="Normal 2 79" xfId="592"/>
    <cellStyle name="Normal 2 8" xfId="593"/>
    <cellStyle name="Normal 2 80" xfId="594"/>
    <cellStyle name="Normal 2 81" xfId="595"/>
    <cellStyle name="Normal 2 82" xfId="596"/>
    <cellStyle name="Normal 2 83" xfId="597"/>
    <cellStyle name="Normal 2 84" xfId="598"/>
    <cellStyle name="Normal 2 85" xfId="599"/>
    <cellStyle name="Normal 2 86" xfId="600"/>
    <cellStyle name="Normal 2 87" xfId="601"/>
    <cellStyle name="Normal 2 88" xfId="602"/>
    <cellStyle name="Normal 2 89" xfId="603"/>
    <cellStyle name="Normal 2 9" xfId="604"/>
    <cellStyle name="Normal 2 90" xfId="605"/>
    <cellStyle name="Normal 2 91" xfId="606"/>
    <cellStyle name="Normal 2 92" xfId="607"/>
    <cellStyle name="Normal 2 93" xfId="608"/>
    <cellStyle name="Normal 2 94" xfId="609"/>
    <cellStyle name="Normal 2 95" xfId="610"/>
    <cellStyle name="Normal 2 96" xfId="611"/>
    <cellStyle name="Normal 20" xfId="612"/>
    <cellStyle name="Normal 20 2" xfId="613"/>
    <cellStyle name="Normal 200" xfId="614"/>
    <cellStyle name="Normal 201" xfId="615"/>
    <cellStyle name="Normal 202" xfId="616"/>
    <cellStyle name="Normal 203" xfId="617"/>
    <cellStyle name="Normal 204" xfId="618"/>
    <cellStyle name="Normal 205" xfId="619"/>
    <cellStyle name="Normal 206" xfId="620"/>
    <cellStyle name="Normal 207" xfId="621"/>
    <cellStyle name="Normal 208" xfId="622"/>
    <cellStyle name="Normal 209" xfId="623"/>
    <cellStyle name="Normal 21" xfId="624"/>
    <cellStyle name="Normal 21 2" xfId="625"/>
    <cellStyle name="Normal 210" xfId="626"/>
    <cellStyle name="Normal 211" xfId="627"/>
    <cellStyle name="Normal 212" xfId="628"/>
    <cellStyle name="Normal 213" xfId="629"/>
    <cellStyle name="Normal 214" xfId="630"/>
    <cellStyle name="Normal 216" xfId="631"/>
    <cellStyle name="Normal 217" xfId="632"/>
    <cellStyle name="Normal 218" xfId="633"/>
    <cellStyle name="Normal 219" xfId="634"/>
    <cellStyle name="Normal 22" xfId="635"/>
    <cellStyle name="Normal 22 2" xfId="636"/>
    <cellStyle name="Normal 220" xfId="637"/>
    <cellStyle name="Normal 221" xfId="638"/>
    <cellStyle name="Normal 222" xfId="639"/>
    <cellStyle name="Normal 224" xfId="640"/>
    <cellStyle name="Normal 225" xfId="641"/>
    <cellStyle name="Normal 226" xfId="642"/>
    <cellStyle name="Normal 227" xfId="643"/>
    <cellStyle name="Normal 228" xfId="644"/>
    <cellStyle name="Normal 229" xfId="645"/>
    <cellStyle name="Normal 23" xfId="646"/>
    <cellStyle name="Normal 230" xfId="647"/>
    <cellStyle name="Normal 24" xfId="648"/>
    <cellStyle name="Normal 24 2" xfId="649"/>
    <cellStyle name="Normal 25" xfId="650"/>
    <cellStyle name="Normal 25 2" xfId="651"/>
    <cellStyle name="Normal 26" xfId="652"/>
    <cellStyle name="Normal 26 2" xfId="653"/>
    <cellStyle name="Normal 27" xfId="654"/>
    <cellStyle name="Normal 28" xfId="655"/>
    <cellStyle name="Normal 29" xfId="656"/>
    <cellStyle name="Normal 3" xfId="657"/>
    <cellStyle name="Normal 3 10" xfId="658"/>
    <cellStyle name="Normal 3 11" xfId="659"/>
    <cellStyle name="Normal 3 12" xfId="660"/>
    <cellStyle name="Normal 3 13" xfId="661"/>
    <cellStyle name="Normal 3 14" xfId="662"/>
    <cellStyle name="Normal 3 15" xfId="663"/>
    <cellStyle name="Normal 3 16" xfId="664"/>
    <cellStyle name="Normal 3 17" xfId="665"/>
    <cellStyle name="Normal 3 18" xfId="666"/>
    <cellStyle name="Normal 3 19" xfId="667"/>
    <cellStyle name="Normal 3 2" xfId="668"/>
    <cellStyle name="Normal 3 2 10" xfId="669"/>
    <cellStyle name="Normal 3 2 11" xfId="670"/>
    <cellStyle name="Normal 3 2 12" xfId="671"/>
    <cellStyle name="Normal 3 2 13" xfId="672"/>
    <cellStyle name="Normal 3 2 14" xfId="673"/>
    <cellStyle name="Normal 3 2 15" xfId="674"/>
    <cellStyle name="Normal 3 2 16" xfId="675"/>
    <cellStyle name="Normal 3 2 17" xfId="676"/>
    <cellStyle name="Normal 3 2 18" xfId="677"/>
    <cellStyle name="Normal 3 2 19" xfId="678"/>
    <cellStyle name="Normal 3 2 2" xfId="679"/>
    <cellStyle name="Normal 3 2 2 10" xfId="680"/>
    <cellStyle name="Normal 3 2 2 11" xfId="681"/>
    <cellStyle name="Normal 3 2 2 12" xfId="682"/>
    <cellStyle name="Normal 3 2 2 13" xfId="683"/>
    <cellStyle name="Normal 3 2 2 14" xfId="684"/>
    <cellStyle name="Normal 3 2 2 15" xfId="685"/>
    <cellStyle name="Normal 3 2 2 16" xfId="686"/>
    <cellStyle name="Normal 3 2 2 17" xfId="687"/>
    <cellStyle name="Normal 3 2 2 18" xfId="688"/>
    <cellStyle name="Normal 3 2 2 19" xfId="689"/>
    <cellStyle name="Normal 3 2 2 2" xfId="690"/>
    <cellStyle name="Normal 3 2 2 2 10" xfId="691"/>
    <cellStyle name="Normal 3 2 2 2 2" xfId="692"/>
    <cellStyle name="Normal 3 2 2 2 3" xfId="693"/>
    <cellStyle name="Normal 3 2 2 2 4" xfId="694"/>
    <cellStyle name="Normal 3 2 2 2 5" xfId="695"/>
    <cellStyle name="Normal 3 2 2 2 6" xfId="696"/>
    <cellStyle name="Normal 3 2 2 2 7" xfId="697"/>
    <cellStyle name="Normal 3 2 2 2 8" xfId="698"/>
    <cellStyle name="Normal 3 2 2 2 9" xfId="699"/>
    <cellStyle name="Normal 3 2 2 20" xfId="700"/>
    <cellStyle name="Normal 3 2 2 3" xfId="701"/>
    <cellStyle name="Normal 3 2 2 4" xfId="702"/>
    <cellStyle name="Normal 3 2 2 5" xfId="703"/>
    <cellStyle name="Normal 3 2 2 6" xfId="704"/>
    <cellStyle name="Normal 3 2 2 7" xfId="705"/>
    <cellStyle name="Normal 3 2 2 8" xfId="706"/>
    <cellStyle name="Normal 3 2 2 9" xfId="707"/>
    <cellStyle name="Normal 3 2 20" xfId="708"/>
    <cellStyle name="Normal 3 2 3" xfId="709"/>
    <cellStyle name="Normal 3 2 3 10" xfId="710"/>
    <cellStyle name="Normal 3 2 3 11" xfId="711"/>
    <cellStyle name="Normal 3 2 3 12" xfId="712"/>
    <cellStyle name="Normal 3 2 3 2" xfId="713"/>
    <cellStyle name="Normal 3 2 3 3" xfId="714"/>
    <cellStyle name="Normal 3 2 3 4" xfId="715"/>
    <cellStyle name="Normal 3 2 3 5" xfId="716"/>
    <cellStyle name="Normal 3 2 3 6" xfId="717"/>
    <cellStyle name="Normal 3 2 3 7" xfId="718"/>
    <cellStyle name="Normal 3 2 3 8" xfId="719"/>
    <cellStyle name="Normal 3 2 3 9" xfId="720"/>
    <cellStyle name="Normal 3 2 4" xfId="721"/>
    <cellStyle name="Normal 3 2 5" xfId="722"/>
    <cellStyle name="Normal 3 2 6" xfId="723"/>
    <cellStyle name="Normal 3 2 7" xfId="724"/>
    <cellStyle name="Normal 3 2 8" xfId="725"/>
    <cellStyle name="Normal 3 2 9" xfId="726"/>
    <cellStyle name="Normal 3 20" xfId="727"/>
    <cellStyle name="Normal 3 21" xfId="728"/>
    <cellStyle name="Normal 3 22" xfId="729"/>
    <cellStyle name="Normal 3 23" xfId="730"/>
    <cellStyle name="Normal 3 24" xfId="731"/>
    <cellStyle name="Normal 3 25" xfId="732"/>
    <cellStyle name="Normal 3 26" xfId="733"/>
    <cellStyle name="Normal 3 27" xfId="734"/>
    <cellStyle name="Normal 3 28" xfId="735"/>
    <cellStyle name="Normal 3 29" xfId="736"/>
    <cellStyle name="Normal 3 29 2" xfId="737"/>
    <cellStyle name="Normal 3 3" xfId="738"/>
    <cellStyle name="Normal 3 3 10" xfId="739"/>
    <cellStyle name="Normal 3 3 11" xfId="740"/>
    <cellStyle name="Normal 3 3 12" xfId="741"/>
    <cellStyle name="Normal 3 3 2" xfId="742"/>
    <cellStyle name="Normal 3 3 3" xfId="743"/>
    <cellStyle name="Normal 3 3 4" xfId="744"/>
    <cellStyle name="Normal 3 3 5" xfId="745"/>
    <cellStyle name="Normal 3 3 6" xfId="746"/>
    <cellStyle name="Normal 3 3 7" xfId="747"/>
    <cellStyle name="Normal 3 3 8" xfId="748"/>
    <cellStyle name="Normal 3 3 9" xfId="749"/>
    <cellStyle name="Normal 3 30" xfId="750"/>
    <cellStyle name="Normal 3 4" xfId="751"/>
    <cellStyle name="Normal 3 5" xfId="752"/>
    <cellStyle name="Normal 3 6" xfId="753"/>
    <cellStyle name="Normal 3 7" xfId="754"/>
    <cellStyle name="Normal 3 8" xfId="755"/>
    <cellStyle name="Normal 3 9" xfId="756"/>
    <cellStyle name="Normal 30" xfId="757"/>
    <cellStyle name="Normal 31" xfId="758"/>
    <cellStyle name="Normal 32" xfId="759"/>
    <cellStyle name="Normal 33" xfId="760"/>
    <cellStyle name="Normal 34" xfId="761"/>
    <cellStyle name="Normal 35" xfId="762"/>
    <cellStyle name="Normal 36" xfId="763"/>
    <cellStyle name="Normal 37" xfId="764"/>
    <cellStyle name="Normal 38" xfId="765"/>
    <cellStyle name="Normal 39" xfId="766"/>
    <cellStyle name="Normal 4" xfId="767"/>
    <cellStyle name="Normal 4 2" xfId="768"/>
    <cellStyle name="Normal 4 2 2" xfId="769"/>
    <cellStyle name="Normal 4 2 2 2" xfId="770"/>
    <cellStyle name="Normal 4 2 2 3" xfId="771"/>
    <cellStyle name="Normal 4 2 3" xfId="772"/>
    <cellStyle name="Normal 4 2 4" xfId="773"/>
    <cellStyle name="Normal 4 2 5" xfId="774"/>
    <cellStyle name="Normal 4 3" xfId="775"/>
    <cellStyle name="Normal 4 3 2" xfId="776"/>
    <cellStyle name="Normal 4 4" xfId="777"/>
    <cellStyle name="Normal 4 5" xfId="778"/>
    <cellStyle name="Normal 4 6" xfId="779"/>
    <cellStyle name="Normal 4 7" xfId="780"/>
    <cellStyle name="Normal 4 8" xfId="781"/>
    <cellStyle name="Normal 40" xfId="782"/>
    <cellStyle name="Normal 41" xfId="783"/>
    <cellStyle name="Normal 42" xfId="784"/>
    <cellStyle name="Normal 43" xfId="785"/>
    <cellStyle name="Normal 44" xfId="786"/>
    <cellStyle name="Normal 45" xfId="787"/>
    <cellStyle name="Normal 46" xfId="788"/>
    <cellStyle name="Normal 47" xfId="789"/>
    <cellStyle name="Normal 48" xfId="790"/>
    <cellStyle name="Normal 49" xfId="791"/>
    <cellStyle name="Normal 5" xfId="792"/>
    <cellStyle name="Normal 5 2" xfId="793"/>
    <cellStyle name="Normal 5 3" xfId="794"/>
    <cellStyle name="Normal 5 4" xfId="795"/>
    <cellStyle name="Normal 50" xfId="796"/>
    <cellStyle name="Normal 51" xfId="797"/>
    <cellStyle name="Normal 52" xfId="798"/>
    <cellStyle name="Normal 53" xfId="799"/>
    <cellStyle name="Normal 54" xfId="800"/>
    <cellStyle name="Normal 55" xfId="801"/>
    <cellStyle name="Normal 56" xfId="802"/>
    <cellStyle name="Normal 57" xfId="803"/>
    <cellStyle name="Normal 58" xfId="804"/>
    <cellStyle name="Normal 59" xfId="805"/>
    <cellStyle name="Normal 6" xfId="806"/>
    <cellStyle name="Normal 6 2" xfId="807"/>
    <cellStyle name="Normal 6 3" xfId="808"/>
    <cellStyle name="Normal 6 4" xfId="809"/>
    <cellStyle name="Normal 60" xfId="810"/>
    <cellStyle name="Normal 61" xfId="811"/>
    <cellStyle name="Normal 62" xfId="812"/>
    <cellStyle name="Normal 63" xfId="813"/>
    <cellStyle name="Normal 64" xfId="814"/>
    <cellStyle name="Normal 65" xfId="815"/>
    <cellStyle name="Normal 66" xfId="816"/>
    <cellStyle name="Normal 67" xfId="817"/>
    <cellStyle name="Normal 68" xfId="818"/>
    <cellStyle name="Normal 69" xfId="819"/>
    <cellStyle name="Normal 7" xfId="820"/>
    <cellStyle name="Normal 70" xfId="821"/>
    <cellStyle name="Normal 71" xfId="822"/>
    <cellStyle name="Normal 72" xfId="823"/>
    <cellStyle name="Normal 73" xfId="824"/>
    <cellStyle name="Normal 74" xfId="825"/>
    <cellStyle name="Normal 75" xfId="826"/>
    <cellStyle name="Normal 76" xfId="827"/>
    <cellStyle name="Normal 77" xfId="828"/>
    <cellStyle name="Normal 78" xfId="829"/>
    <cellStyle name="Normal 79" xfId="830"/>
    <cellStyle name="Normal 8" xfId="831"/>
    <cellStyle name="Normal 80" xfId="832"/>
    <cellStyle name="Normal 81" xfId="833"/>
    <cellStyle name="Normal 82" xfId="834"/>
    <cellStyle name="Normal 83" xfId="835"/>
    <cellStyle name="Normal 84" xfId="836"/>
    <cellStyle name="Normal 85" xfId="837"/>
    <cellStyle name="Normal 86" xfId="918"/>
    <cellStyle name="Normal 87" xfId="838"/>
    <cellStyle name="Normal 88" xfId="839"/>
    <cellStyle name="Normal 89" xfId="840"/>
    <cellStyle name="Normal 9" xfId="841"/>
    <cellStyle name="Normal 90" xfId="842"/>
    <cellStyle name="Normal 91" xfId="843"/>
    <cellStyle name="Normal 92" xfId="844"/>
    <cellStyle name="Normal 96" xfId="845"/>
    <cellStyle name="Normal 98" xfId="846"/>
    <cellStyle name="Percent" xfId="847" builtinId="5"/>
    <cellStyle name="Percent 12" xfId="848"/>
    <cellStyle name="Percent 12 2" xfId="1819"/>
    <cellStyle name="Percent 12 3" xfId="1820"/>
    <cellStyle name="Percent 12 4" xfId="1821"/>
    <cellStyle name="Percent 12 5" xfId="1822"/>
    <cellStyle name="Percent 12 6" xfId="1823"/>
    <cellStyle name="Percent 2" xfId="849"/>
    <cellStyle name="Percent 2 10" xfId="850"/>
    <cellStyle name="Percent 2 11" xfId="851"/>
    <cellStyle name="Percent 2 12" xfId="852"/>
    <cellStyle name="Percent 2 13" xfId="853"/>
    <cellStyle name="Percent 2 14" xfId="854"/>
    <cellStyle name="Percent 2 15" xfId="855"/>
    <cellStyle name="Percent 2 16" xfId="856"/>
    <cellStyle name="Percent 2 17" xfId="857"/>
    <cellStyle name="Percent 2 18" xfId="858"/>
    <cellStyle name="Percent 2 19" xfId="859"/>
    <cellStyle name="Percent 2 2" xfId="860"/>
    <cellStyle name="Percent 2 2 2" xfId="1824"/>
    <cellStyle name="Percent 2 2 2 2" xfId="1825"/>
    <cellStyle name="Percent 2 2 2 3" xfId="1826"/>
    <cellStyle name="Percent 2 2 2 4" xfId="1827"/>
    <cellStyle name="Percent 2 2 2 5" xfId="1828"/>
    <cellStyle name="Percent 2 2 2 6" xfId="1829"/>
    <cellStyle name="Percent 2 2 3" xfId="1830"/>
    <cellStyle name="Percent 2 2 4" xfId="1831"/>
    <cellStyle name="Percent 2 2 5" xfId="1832"/>
    <cellStyle name="Percent 2 2 6" xfId="1833"/>
    <cellStyle name="Percent 2 20" xfId="861"/>
    <cellStyle name="Percent 2 21" xfId="862"/>
    <cellStyle name="Percent 2 22" xfId="863"/>
    <cellStyle name="Percent 2 23" xfId="864"/>
    <cellStyle name="Percent 2 24" xfId="865"/>
    <cellStyle name="Percent 2 25" xfId="866"/>
    <cellStyle name="Percent 2 26" xfId="867"/>
    <cellStyle name="Percent 2 27" xfId="868"/>
    <cellStyle name="Percent 2 28" xfId="869"/>
    <cellStyle name="Percent 2 29" xfId="870"/>
    <cellStyle name="Percent 2 3" xfId="871"/>
    <cellStyle name="Percent 2 30" xfId="872"/>
    <cellStyle name="Percent 2 31" xfId="873"/>
    <cellStyle name="Percent 2 32" xfId="874"/>
    <cellStyle name="Percent 2 33" xfId="875"/>
    <cellStyle name="Percent 2 34" xfId="876"/>
    <cellStyle name="Percent 2 35" xfId="877"/>
    <cellStyle name="Percent 2 36" xfId="878"/>
    <cellStyle name="Percent 2 37" xfId="879"/>
    <cellStyle name="Percent 2 38" xfId="880"/>
    <cellStyle name="Percent 2 39" xfId="881"/>
    <cellStyle name="Percent 2 4" xfId="882"/>
    <cellStyle name="Percent 2 40" xfId="883"/>
    <cellStyle name="Percent 2 41" xfId="884"/>
    <cellStyle name="Percent 2 42" xfId="885"/>
    <cellStyle name="Percent 2 43" xfId="886"/>
    <cellStyle name="Percent 2 44" xfId="887"/>
    <cellStyle name="Percent 2 45" xfId="888"/>
    <cellStyle name="Percent 2 46" xfId="889"/>
    <cellStyle name="Percent 2 47" xfId="890"/>
    <cellStyle name="Percent 2 48" xfId="891"/>
    <cellStyle name="Percent 2 49" xfId="892"/>
    <cellStyle name="Percent 2 5" xfId="893"/>
    <cellStyle name="Percent 2 50" xfId="894"/>
    <cellStyle name="Percent 2 51" xfId="895"/>
    <cellStyle name="Percent 2 52" xfId="896"/>
    <cellStyle name="Percent 2 53" xfId="897"/>
    <cellStyle name="Percent 2 54" xfId="898"/>
    <cellStyle name="Percent 2 55" xfId="899"/>
    <cellStyle name="Percent 2 56" xfId="900"/>
    <cellStyle name="Percent 2 57" xfId="901"/>
    <cellStyle name="Percent 2 58" xfId="902"/>
    <cellStyle name="Percent 2 59" xfId="903"/>
    <cellStyle name="Percent 2 6" xfId="904"/>
    <cellStyle name="Percent 2 60" xfId="905"/>
    <cellStyle name="Percent 2 61" xfId="906"/>
    <cellStyle name="Percent 2 62" xfId="907"/>
    <cellStyle name="Percent 2 63" xfId="908"/>
    <cellStyle name="Percent 2 64" xfId="909"/>
    <cellStyle name="Percent 2 65" xfId="910"/>
    <cellStyle name="Percent 2 65 2" xfId="1834"/>
    <cellStyle name="Percent 2 65 3" xfId="1835"/>
    <cellStyle name="Percent 2 65 4" xfId="1836"/>
    <cellStyle name="Percent 2 65 5" xfId="1837"/>
    <cellStyle name="Percent 2 65 6" xfId="1838"/>
    <cellStyle name="Percent 2 66" xfId="911"/>
    <cellStyle name="Percent 2 7" xfId="912"/>
    <cellStyle name="Percent 2 8" xfId="913"/>
    <cellStyle name="Percent 2 9" xfId="914"/>
    <cellStyle name="Percent 3" xfId="915"/>
    <cellStyle name="Percent 4" xfId="916"/>
    <cellStyle name="Percent 4 2" xfId="917"/>
  </cellStyles>
  <dxfs count="31">
    <dxf>
      <fill>
        <patternFill>
          <bgColor rgb="FFFF3300"/>
        </patternFill>
      </fill>
    </dxf>
    <dxf>
      <fill>
        <patternFill>
          <bgColor rgb="FFFFCC00"/>
        </patternFill>
      </fill>
    </dxf>
    <dxf>
      <fill>
        <patternFill>
          <bgColor rgb="FF00B011"/>
        </patternFill>
      </fill>
    </dxf>
    <dxf>
      <fill>
        <patternFill>
          <bgColor rgb="FFFF3300"/>
        </patternFill>
      </fill>
    </dxf>
    <dxf>
      <fill>
        <patternFill>
          <bgColor rgb="FFFFCC00"/>
        </patternFill>
      </fill>
    </dxf>
    <dxf>
      <fill>
        <patternFill>
          <bgColor rgb="FF00B011"/>
        </patternFill>
      </fill>
    </dxf>
    <dxf>
      <fill>
        <patternFill>
          <bgColor rgb="FFFF3300"/>
        </patternFill>
      </fill>
    </dxf>
    <dxf>
      <fill>
        <patternFill>
          <bgColor rgb="FFFFCC00"/>
        </patternFill>
      </fill>
    </dxf>
    <dxf>
      <fill>
        <patternFill>
          <bgColor rgb="FF00B011"/>
        </patternFill>
      </fill>
    </dxf>
    <dxf>
      <fill>
        <patternFill>
          <bgColor theme="0" tint="-0.499984740745262"/>
        </patternFill>
      </fill>
    </dxf>
    <dxf>
      <fill>
        <patternFill>
          <bgColor rgb="FFFF3300"/>
        </patternFill>
      </fill>
    </dxf>
    <dxf>
      <fill>
        <patternFill>
          <bgColor rgb="FFFFCC00"/>
        </patternFill>
      </fill>
    </dxf>
    <dxf>
      <fill>
        <patternFill>
          <bgColor rgb="FF00B011"/>
        </patternFill>
      </fill>
    </dxf>
    <dxf>
      <fill>
        <patternFill>
          <bgColor rgb="FFFF3300"/>
        </patternFill>
      </fill>
    </dxf>
    <dxf>
      <fill>
        <patternFill>
          <bgColor rgb="FFFFCC00"/>
        </patternFill>
      </fill>
    </dxf>
    <dxf>
      <fill>
        <patternFill>
          <bgColor rgb="FF00B011"/>
        </patternFill>
      </fill>
    </dxf>
    <dxf>
      <fill>
        <patternFill>
          <bgColor theme="0" tint="-0.499984740745262"/>
        </patternFill>
      </fill>
    </dxf>
    <dxf>
      <fill>
        <patternFill>
          <bgColor rgb="FFFF3300"/>
        </patternFill>
      </fill>
    </dxf>
    <dxf>
      <fill>
        <patternFill>
          <bgColor rgb="FFFFCC00"/>
        </patternFill>
      </fill>
    </dxf>
    <dxf>
      <fill>
        <patternFill>
          <bgColor rgb="FF00B011"/>
        </patternFill>
      </fill>
    </dxf>
    <dxf>
      <fill>
        <patternFill>
          <bgColor rgb="FFFF3300"/>
        </patternFill>
      </fill>
    </dxf>
    <dxf>
      <fill>
        <patternFill>
          <bgColor rgb="FFFFCC00"/>
        </patternFill>
      </fill>
    </dxf>
    <dxf>
      <fill>
        <patternFill>
          <bgColor rgb="FF00B011"/>
        </patternFill>
      </fill>
    </dxf>
    <dxf>
      <fill>
        <patternFill>
          <bgColor theme="0" tint="-0.499984740745262"/>
        </patternFill>
      </fill>
    </dxf>
    <dxf>
      <fill>
        <patternFill>
          <bgColor rgb="FFFF3300"/>
        </patternFill>
      </fill>
    </dxf>
    <dxf>
      <fill>
        <patternFill>
          <bgColor rgb="FFFFCC00"/>
        </patternFill>
      </fill>
    </dxf>
    <dxf>
      <fill>
        <patternFill>
          <bgColor rgb="FF00B011"/>
        </patternFill>
      </fill>
    </dxf>
    <dxf>
      <fill>
        <patternFill>
          <bgColor theme="0" tint="-0.499984740745262"/>
        </patternFill>
      </fill>
    </dxf>
    <dxf>
      <fill>
        <patternFill>
          <bgColor rgb="FFFF3B0D"/>
        </patternFill>
      </fill>
    </dxf>
    <dxf>
      <fill>
        <patternFill>
          <bgColor rgb="FFFFCF05"/>
        </patternFill>
      </fill>
    </dxf>
    <dxf>
      <fill>
        <patternFill>
          <bgColor rgb="FF00C012"/>
        </patternFill>
      </fill>
    </dxf>
  </dxfs>
  <tableStyles count="0" defaultTableStyle="TableStyleMedium9" defaultPivotStyle="PivotStyleLight16"/>
  <colors>
    <mruColors>
      <color rgb="FFFFFF66"/>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externalLink" Target="externalLinks/externalLink6.xml"/><Relationship Id="rId10" Type="http://schemas.openxmlformats.org/officeDocument/2006/relationships/externalLink" Target="externalLinks/externalLink1.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jpeg"/><Relationship Id="rId4"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4</xdr:col>
      <xdr:colOff>590550</xdr:colOff>
      <xdr:row>34</xdr:row>
      <xdr:rowOff>152400</xdr:rowOff>
    </xdr:from>
    <xdr:to>
      <xdr:col>5</xdr:col>
      <xdr:colOff>436494</xdr:colOff>
      <xdr:row>38</xdr:row>
      <xdr:rowOff>20419</xdr:rowOff>
    </xdr:to>
    <xdr:pic>
      <xdr:nvPicPr>
        <xdr:cNvPr id="2" name="Picture 1" descr="CEPT_FINAL_SYMBOL-AUG 10.jpg"/>
        <xdr:cNvPicPr>
          <a:picLocks noChangeAspect="1"/>
        </xdr:cNvPicPr>
      </xdr:nvPicPr>
      <xdr:blipFill>
        <a:blip xmlns:r="http://schemas.openxmlformats.org/officeDocument/2006/relationships" r:embed="rId1" cstate="print"/>
        <a:stretch>
          <a:fillRect/>
        </a:stretch>
      </xdr:blipFill>
      <xdr:spPr>
        <a:xfrm>
          <a:off x="2743200" y="7381875"/>
          <a:ext cx="455544" cy="706219"/>
        </a:xfrm>
        <a:prstGeom prst="rect">
          <a:avLst/>
        </a:prstGeom>
      </xdr:spPr>
    </xdr:pic>
    <xdr:clientData/>
  </xdr:twoCellAnchor>
  <xdr:twoCellAnchor editAs="oneCell">
    <xdr:from>
      <xdr:col>4</xdr:col>
      <xdr:colOff>9525</xdr:colOff>
      <xdr:row>23</xdr:row>
      <xdr:rowOff>114300</xdr:rowOff>
    </xdr:from>
    <xdr:to>
      <xdr:col>7</xdr:col>
      <xdr:colOff>33772</xdr:colOff>
      <xdr:row>25</xdr:row>
      <xdr:rowOff>99936</xdr:rowOff>
    </xdr:to>
    <xdr:pic>
      <xdr:nvPicPr>
        <xdr:cNvPr id="3" name="Picture 2" descr="Final Logo-July 2010.jpg"/>
        <xdr:cNvPicPr/>
      </xdr:nvPicPr>
      <xdr:blipFill>
        <a:blip xmlns:r="http://schemas.openxmlformats.org/officeDocument/2006/relationships" r:embed="rId2" cstate="email"/>
        <a:srcRect/>
        <a:stretch>
          <a:fillRect/>
        </a:stretch>
      </xdr:blipFill>
      <xdr:spPr bwMode="auto">
        <a:xfrm>
          <a:off x="2162175" y="5019675"/>
          <a:ext cx="1853047" cy="385686"/>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535778</xdr:colOff>
      <xdr:row>15</xdr:row>
      <xdr:rowOff>124667</xdr:rowOff>
    </xdr:from>
    <xdr:to>
      <xdr:col>5</xdr:col>
      <xdr:colOff>3143250</xdr:colOff>
      <xdr:row>31</xdr:row>
      <xdr:rowOff>12608</xdr:rowOff>
    </xdr:to>
    <xdr:sp macro="" textlink="">
      <xdr:nvSpPr>
        <xdr:cNvPr id="49" name="Rectangle 48"/>
        <xdr:cNvSpPr/>
      </xdr:nvSpPr>
      <xdr:spPr>
        <a:xfrm>
          <a:off x="1488278" y="4029917"/>
          <a:ext cx="8063936" cy="2949548"/>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xdr:col>
      <xdr:colOff>904874</xdr:colOff>
      <xdr:row>16</xdr:row>
      <xdr:rowOff>9525</xdr:rowOff>
    </xdr:from>
    <xdr:to>
      <xdr:col>5</xdr:col>
      <xdr:colOff>2803071</xdr:colOff>
      <xdr:row>30</xdr:row>
      <xdr:rowOff>85725</xdr:rowOff>
    </xdr:to>
    <xdr:grpSp>
      <xdr:nvGrpSpPr>
        <xdr:cNvPr id="12290" name="Group 1"/>
        <xdr:cNvGrpSpPr>
          <a:grpSpLocks noChangeAspect="1"/>
        </xdr:cNvGrpSpPr>
      </xdr:nvGrpSpPr>
      <xdr:grpSpPr bwMode="auto">
        <a:xfrm>
          <a:off x="1985771" y="3974084"/>
          <a:ext cx="7890946" cy="2669032"/>
          <a:chOff x="2643" y="9281"/>
          <a:chExt cx="13354" cy="4330"/>
        </a:xfrm>
      </xdr:grpSpPr>
      <xdr:sp macro="" textlink="">
        <xdr:nvSpPr>
          <xdr:cNvPr id="12295" name="AutoShape 14"/>
          <xdr:cNvSpPr>
            <a:spLocks noChangeAspect="1" noChangeArrowheads="1"/>
          </xdr:cNvSpPr>
        </xdr:nvSpPr>
        <xdr:spPr bwMode="auto">
          <a:xfrm>
            <a:off x="2643" y="9281"/>
            <a:ext cx="13354" cy="4330"/>
          </a:xfrm>
          <a:prstGeom prst="rect">
            <a:avLst/>
          </a:prstGeom>
          <a:solidFill>
            <a:srgbClr val="D9D9D9"/>
          </a:solidFill>
          <a:ln w="9525">
            <a:noFill/>
            <a:miter lim="800000"/>
            <a:headEnd/>
            <a:tailEnd/>
          </a:ln>
        </xdr:spPr>
      </xdr:sp>
      <xdr:sp macro="" textlink="">
        <xdr:nvSpPr>
          <xdr:cNvPr id="12296" name="Rectangle 13"/>
          <xdr:cNvSpPr>
            <a:spLocks noChangeArrowheads="1"/>
          </xdr:cNvSpPr>
        </xdr:nvSpPr>
        <xdr:spPr bwMode="auto">
          <a:xfrm>
            <a:off x="5073" y="10245"/>
            <a:ext cx="2620" cy="3225"/>
          </a:xfrm>
          <a:prstGeom prst="rect">
            <a:avLst/>
          </a:prstGeom>
          <a:solidFill>
            <a:srgbClr val="4F81BD"/>
          </a:solidFill>
          <a:ln w="9525">
            <a:solidFill>
              <a:srgbClr val="938953"/>
            </a:solidFill>
            <a:prstDash val="sysDot"/>
            <a:miter lim="800000"/>
            <a:headEnd/>
            <a:tailEnd/>
          </a:ln>
        </xdr:spPr>
      </xdr:sp>
      <xdr:sp macro="" textlink="">
        <xdr:nvSpPr>
          <xdr:cNvPr id="12300" name="Text Box 12"/>
          <xdr:cNvSpPr txBox="1">
            <a:spLocks noChangeArrowheads="1"/>
          </xdr:cNvSpPr>
        </xdr:nvSpPr>
        <xdr:spPr bwMode="auto">
          <a:xfrm>
            <a:off x="3300" y="10243"/>
            <a:ext cx="1131" cy="3112"/>
          </a:xfrm>
          <a:prstGeom prst="rect">
            <a:avLst/>
          </a:prstGeom>
          <a:solidFill>
            <a:schemeClr val="accent1"/>
          </a:solidFill>
          <a:ln w="9525">
            <a:solidFill>
              <a:srgbClr val="938953"/>
            </a:solidFill>
            <a:prstDash val="sysDot"/>
            <a:miter lim="800000"/>
            <a:headEnd/>
            <a:tailEnd/>
          </a:ln>
        </xdr:spPr>
        <xdr:txBody>
          <a:bodyPr vertOverflow="clip" vert="vert270" wrap="square" lIns="91440" tIns="45720" rIns="91440" bIns="45720" anchor="t" upright="1"/>
          <a:lstStyle/>
          <a:p>
            <a:pPr algn="ctr" rtl="0">
              <a:defRPr sz="1000"/>
            </a:pPr>
            <a:r>
              <a:rPr lang="en-US" sz="1000" b="1" i="0" strike="noStrike">
                <a:solidFill>
                  <a:schemeClr val="bg1"/>
                </a:solidFill>
                <a:latin typeface="Palatino Linotype"/>
              </a:rPr>
              <a:t>DIAGNOSTICS AND CONSULTATION</a:t>
            </a:r>
          </a:p>
        </xdr:txBody>
      </xdr:sp>
      <xdr:sp macro="" textlink="">
        <xdr:nvSpPr>
          <xdr:cNvPr id="12299" name="Text Box 11"/>
          <xdr:cNvSpPr txBox="1">
            <a:spLocks noChangeArrowheads="1"/>
          </xdr:cNvSpPr>
        </xdr:nvSpPr>
        <xdr:spPr bwMode="auto">
          <a:xfrm>
            <a:off x="3373" y="9597"/>
            <a:ext cx="6878" cy="481"/>
          </a:xfrm>
          <a:prstGeom prst="rect">
            <a:avLst/>
          </a:prstGeom>
          <a:solidFill>
            <a:schemeClr val="accent1"/>
          </a:solidFill>
          <a:ln w="9525">
            <a:solidFill>
              <a:srgbClr val="484329"/>
            </a:solidFill>
            <a:prstDash val="dash"/>
            <a:miter lim="800000"/>
            <a:headEnd/>
            <a:tailEnd/>
          </a:ln>
        </xdr:spPr>
        <xdr:txBody>
          <a:bodyPr vertOverflow="clip" wrap="square" lIns="91440" tIns="45720" rIns="91440" bIns="45720" anchor="t" upright="1"/>
          <a:lstStyle/>
          <a:p>
            <a:pPr algn="ctr" rtl="0">
              <a:defRPr sz="1000"/>
            </a:pPr>
            <a:r>
              <a:rPr lang="en-US" sz="1100" b="1" i="0" strike="noStrike">
                <a:solidFill>
                  <a:schemeClr val="bg1"/>
                </a:solidFill>
                <a:latin typeface="Palatino Linotype"/>
              </a:rPr>
              <a:t>PERFORMANCE IMPROVEMENT PLANNING</a:t>
            </a:r>
          </a:p>
        </xdr:txBody>
      </xdr:sp>
      <xdr:sp macro="" textlink="">
        <xdr:nvSpPr>
          <xdr:cNvPr id="12298" name="Text Box 10"/>
          <xdr:cNvSpPr txBox="1">
            <a:spLocks noChangeArrowheads="1"/>
          </xdr:cNvSpPr>
        </xdr:nvSpPr>
        <xdr:spPr bwMode="auto">
          <a:xfrm>
            <a:off x="9101" y="10243"/>
            <a:ext cx="1131" cy="3112"/>
          </a:xfrm>
          <a:prstGeom prst="rect">
            <a:avLst/>
          </a:prstGeom>
          <a:solidFill>
            <a:schemeClr val="accent1"/>
          </a:solidFill>
          <a:ln w="9525">
            <a:solidFill>
              <a:srgbClr val="938953"/>
            </a:solidFill>
            <a:prstDash val="sysDot"/>
            <a:miter lim="800000"/>
            <a:headEnd/>
            <a:tailEnd/>
          </a:ln>
        </xdr:spPr>
        <xdr:txBody>
          <a:bodyPr vertOverflow="clip" vert="vert" wrap="square" lIns="91440" tIns="45720" rIns="91440" bIns="45720" anchor="b" upright="1"/>
          <a:lstStyle/>
          <a:p>
            <a:pPr algn="ctr" rtl="0">
              <a:defRPr sz="1000"/>
            </a:pPr>
            <a:r>
              <a:rPr lang="en-US" sz="1000" b="1" i="0" strike="noStrike">
                <a:solidFill>
                  <a:schemeClr val="bg1"/>
                </a:solidFill>
                <a:latin typeface="Palatino Linotype"/>
              </a:rPr>
              <a:t>PERFORMNACE IMPROVEMENT PLAN</a:t>
            </a:r>
          </a:p>
        </xdr:txBody>
      </xdr:sp>
      <xdr:sp macro="" textlink="">
        <xdr:nvSpPr>
          <xdr:cNvPr id="12297" name="Text Box 9"/>
          <xdr:cNvSpPr txBox="1">
            <a:spLocks noChangeArrowheads="1"/>
          </xdr:cNvSpPr>
        </xdr:nvSpPr>
        <xdr:spPr bwMode="auto">
          <a:xfrm>
            <a:off x="5197" y="10333"/>
            <a:ext cx="2408" cy="692"/>
          </a:xfrm>
          <a:prstGeom prst="rect">
            <a:avLst/>
          </a:prstGeom>
          <a:solidFill>
            <a:srgbClr val="FFFFFF"/>
          </a:solidFill>
          <a:ln w="9525">
            <a:noFill/>
            <a:prstDash val="dash"/>
            <a:miter lim="800000"/>
            <a:headEnd/>
            <a:tailEnd/>
          </a:ln>
        </xdr:spPr>
        <xdr:txBody>
          <a:bodyPr vertOverflow="clip" wrap="square" lIns="91440" tIns="45720" rIns="91440" bIns="45720" anchor="t" upright="1"/>
          <a:lstStyle/>
          <a:p>
            <a:pPr algn="ctr" rtl="0">
              <a:defRPr sz="1000"/>
            </a:pPr>
            <a:r>
              <a:rPr lang="en-US" sz="1000" b="1" i="0" strike="noStrike">
                <a:solidFill>
                  <a:srgbClr val="4A442A"/>
                </a:solidFill>
                <a:latin typeface="Palatino Linotype"/>
              </a:rPr>
              <a:t>PERFORMANCE ASSESSMENT</a:t>
            </a:r>
          </a:p>
        </xdr:txBody>
      </xdr:sp>
      <xdr:sp macro="" textlink="">
        <xdr:nvSpPr>
          <xdr:cNvPr id="2" name="Text Box 8"/>
          <xdr:cNvSpPr txBox="1">
            <a:spLocks noChangeArrowheads="1"/>
          </xdr:cNvSpPr>
        </xdr:nvSpPr>
        <xdr:spPr bwMode="auto">
          <a:xfrm>
            <a:off x="5197" y="11352"/>
            <a:ext cx="2408" cy="964"/>
          </a:xfrm>
          <a:prstGeom prst="rect">
            <a:avLst/>
          </a:prstGeom>
          <a:solidFill>
            <a:srgbClr val="FFFFFF"/>
          </a:solidFill>
          <a:ln w="9525">
            <a:noFill/>
            <a:prstDash val="dash"/>
            <a:miter lim="800000"/>
            <a:headEnd/>
            <a:tailEnd/>
          </a:ln>
        </xdr:spPr>
        <xdr:txBody>
          <a:bodyPr vertOverflow="clip" wrap="square" lIns="91440" tIns="45720" rIns="91440" bIns="45720" anchor="t" upright="1"/>
          <a:lstStyle/>
          <a:p>
            <a:pPr algn="ctr" rtl="0">
              <a:defRPr sz="1000"/>
            </a:pPr>
            <a:r>
              <a:rPr lang="en-US" sz="1000" b="1" i="0" strike="noStrike">
                <a:solidFill>
                  <a:srgbClr val="4A442A"/>
                </a:solidFill>
                <a:latin typeface="Palatino Linotype"/>
              </a:rPr>
              <a:t>INTEGRATED ACTION PLANNING</a:t>
            </a:r>
            <a:endParaRPr lang="en-US" sz="1100" b="0" i="0" strike="noStrike">
              <a:solidFill>
                <a:srgbClr val="000000"/>
              </a:solidFill>
              <a:latin typeface="Calibri"/>
            </a:endParaRPr>
          </a:p>
          <a:p>
            <a:pPr algn="ctr" rtl="0">
              <a:defRPr sz="1000"/>
            </a:pPr>
            <a:r>
              <a:rPr lang="en-US" sz="900" b="1" i="0" strike="noStrike">
                <a:solidFill>
                  <a:srgbClr val="000000"/>
                </a:solidFill>
                <a:latin typeface="Palatino Linotype"/>
              </a:rPr>
              <a:t> </a:t>
            </a:r>
          </a:p>
        </xdr:txBody>
      </xdr:sp>
      <xdr:sp macro="" textlink="">
        <xdr:nvSpPr>
          <xdr:cNvPr id="3" name="Text Box 7"/>
          <xdr:cNvSpPr txBox="1">
            <a:spLocks noChangeArrowheads="1"/>
          </xdr:cNvSpPr>
        </xdr:nvSpPr>
        <xdr:spPr bwMode="auto">
          <a:xfrm>
            <a:off x="5179" y="12724"/>
            <a:ext cx="2426" cy="677"/>
          </a:xfrm>
          <a:prstGeom prst="rect">
            <a:avLst/>
          </a:prstGeom>
          <a:solidFill>
            <a:srgbClr val="FFFFFF"/>
          </a:solidFill>
          <a:ln w="9525">
            <a:noFill/>
            <a:prstDash val="dash"/>
            <a:miter lim="800000"/>
            <a:headEnd/>
            <a:tailEnd/>
          </a:ln>
        </xdr:spPr>
        <xdr:txBody>
          <a:bodyPr vertOverflow="clip" wrap="square" lIns="91440" tIns="45720" rIns="91440" bIns="45720" anchor="t" upright="1"/>
          <a:lstStyle/>
          <a:p>
            <a:pPr algn="ctr" rtl="0">
              <a:defRPr sz="1000"/>
            </a:pPr>
            <a:r>
              <a:rPr lang="en-US" sz="900" b="1" i="0" strike="noStrike">
                <a:solidFill>
                  <a:srgbClr val="4A442A"/>
                </a:solidFill>
                <a:latin typeface="Palatino Linotype"/>
              </a:rPr>
              <a:t>FINANCIAL ASSESSMENT</a:t>
            </a:r>
          </a:p>
        </xdr:txBody>
      </xdr:sp>
      <xdr:sp macro="" textlink="">
        <xdr:nvSpPr>
          <xdr:cNvPr id="12303" name="AutoShape 6"/>
          <xdr:cNvSpPr>
            <a:spLocks noChangeArrowheads="1"/>
          </xdr:cNvSpPr>
        </xdr:nvSpPr>
        <xdr:spPr bwMode="auto">
          <a:xfrm rot="5400000">
            <a:off x="6195" y="10835"/>
            <a:ext cx="360" cy="685"/>
          </a:xfrm>
          <a:prstGeom prst="leftRightArrow">
            <a:avLst>
              <a:gd name="adj1" fmla="val 50000"/>
              <a:gd name="adj2" fmla="val 20000"/>
            </a:avLst>
          </a:prstGeom>
          <a:solidFill>
            <a:srgbClr val="C4BC96"/>
          </a:solidFill>
          <a:ln w="9525">
            <a:noFill/>
            <a:miter lim="800000"/>
            <a:headEnd/>
            <a:tailEnd/>
          </a:ln>
        </xdr:spPr>
      </xdr:sp>
      <xdr:sp macro="" textlink="">
        <xdr:nvSpPr>
          <xdr:cNvPr id="12304" name="AutoShape 5"/>
          <xdr:cNvSpPr>
            <a:spLocks noChangeArrowheads="1"/>
          </xdr:cNvSpPr>
        </xdr:nvSpPr>
        <xdr:spPr bwMode="auto">
          <a:xfrm rot="5400000">
            <a:off x="6172" y="12187"/>
            <a:ext cx="383" cy="685"/>
          </a:xfrm>
          <a:prstGeom prst="leftRightArrow">
            <a:avLst>
              <a:gd name="adj1" fmla="val 50000"/>
              <a:gd name="adj2" fmla="val 20000"/>
            </a:avLst>
          </a:prstGeom>
          <a:solidFill>
            <a:srgbClr val="C4BC96"/>
          </a:solidFill>
          <a:ln w="9525">
            <a:noFill/>
            <a:miter lim="800000"/>
            <a:headEnd/>
            <a:tailEnd/>
          </a:ln>
        </xdr:spPr>
      </xdr:sp>
      <xdr:sp macro="" textlink="">
        <xdr:nvSpPr>
          <xdr:cNvPr id="12305" name="AutoShape 4"/>
          <xdr:cNvSpPr>
            <a:spLocks noChangeArrowheads="1"/>
          </xdr:cNvSpPr>
        </xdr:nvSpPr>
        <xdr:spPr bwMode="auto">
          <a:xfrm>
            <a:off x="4474" y="11459"/>
            <a:ext cx="615" cy="685"/>
          </a:xfrm>
          <a:prstGeom prst="leftRightArrow">
            <a:avLst>
              <a:gd name="adj1" fmla="val 50000"/>
              <a:gd name="adj2" fmla="val 20000"/>
            </a:avLst>
          </a:prstGeom>
          <a:solidFill>
            <a:srgbClr val="C4BC96"/>
          </a:solidFill>
          <a:ln w="9525">
            <a:solidFill>
              <a:srgbClr val="938953"/>
            </a:solidFill>
            <a:miter lim="800000"/>
            <a:headEnd/>
            <a:tailEnd/>
          </a:ln>
        </xdr:spPr>
      </xdr:sp>
      <xdr:sp macro="" textlink="">
        <xdr:nvSpPr>
          <xdr:cNvPr id="12306" name="AutoShape 3"/>
          <xdr:cNvSpPr>
            <a:spLocks noChangeArrowheads="1"/>
          </xdr:cNvSpPr>
        </xdr:nvSpPr>
        <xdr:spPr bwMode="auto">
          <a:xfrm>
            <a:off x="8538" y="11506"/>
            <a:ext cx="498" cy="629"/>
          </a:xfrm>
          <a:prstGeom prst="rightArrow">
            <a:avLst>
              <a:gd name="adj1" fmla="val 50000"/>
              <a:gd name="adj2" fmla="val 25000"/>
            </a:avLst>
          </a:prstGeom>
          <a:solidFill>
            <a:srgbClr val="C4BC96"/>
          </a:solidFill>
          <a:ln w="9525">
            <a:noFill/>
            <a:miter lim="800000"/>
            <a:headEnd/>
            <a:tailEnd/>
          </a:ln>
        </xdr:spPr>
      </xdr:sp>
      <xdr:sp macro="" textlink="">
        <xdr:nvSpPr>
          <xdr:cNvPr id="4" name="Text Box 2"/>
          <xdr:cNvSpPr txBox="1">
            <a:spLocks noChangeArrowheads="1"/>
          </xdr:cNvSpPr>
        </xdr:nvSpPr>
        <xdr:spPr bwMode="auto">
          <a:xfrm>
            <a:off x="7788" y="10243"/>
            <a:ext cx="639" cy="3112"/>
          </a:xfrm>
          <a:prstGeom prst="rect">
            <a:avLst/>
          </a:prstGeom>
          <a:solidFill>
            <a:schemeClr val="accent1"/>
          </a:solidFill>
          <a:ln w="9525">
            <a:solidFill>
              <a:srgbClr val="938953"/>
            </a:solidFill>
            <a:prstDash val="sysDot"/>
            <a:miter lim="800000"/>
            <a:headEnd/>
            <a:tailEnd/>
          </a:ln>
        </xdr:spPr>
        <xdr:txBody>
          <a:bodyPr vertOverflow="clip" vert="vert" wrap="square" lIns="91440" tIns="45720" rIns="91440" bIns="45720" anchor="b" upright="1"/>
          <a:lstStyle/>
          <a:p>
            <a:pPr algn="ctr" rtl="0">
              <a:defRPr sz="1000"/>
            </a:pPr>
            <a:r>
              <a:rPr lang="en-US" sz="1000" b="1" i="0" strike="noStrike">
                <a:solidFill>
                  <a:schemeClr val="bg1"/>
                </a:solidFill>
                <a:latin typeface="Palatino Linotype"/>
              </a:rPr>
              <a:t>SCENARIOS FOR REVIEW</a:t>
            </a:r>
          </a:p>
        </xdr:txBody>
      </xdr:sp>
    </xdr:grpSp>
    <xdr:clientData/>
  </xdr:twoCellAnchor>
  <xdr:twoCellAnchor>
    <xdr:from>
      <xdr:col>5</xdr:col>
      <xdr:colOff>0</xdr:colOff>
      <xdr:row>20</xdr:row>
      <xdr:rowOff>45526</xdr:rowOff>
    </xdr:from>
    <xdr:to>
      <xdr:col>5</xdr:col>
      <xdr:colOff>2004918</xdr:colOff>
      <xdr:row>22</xdr:row>
      <xdr:rowOff>33898</xdr:rowOff>
    </xdr:to>
    <xdr:sp macro="" textlink="">
      <xdr:nvSpPr>
        <xdr:cNvPr id="44" name="TextBox 43"/>
        <xdr:cNvSpPr txBox="1"/>
      </xdr:nvSpPr>
      <xdr:spPr>
        <a:xfrm>
          <a:off x="8024813" y="5331901"/>
          <a:ext cx="2004918" cy="369372"/>
        </a:xfrm>
        <a:prstGeom prst="rect">
          <a:avLst/>
        </a:prstGeom>
        <a:solidFill>
          <a:srgbClr val="FFFFFF"/>
        </a:solidFill>
        <a:ln w="9525">
          <a:noFill/>
          <a:prstDash val="dash"/>
          <a:miter lim="800000"/>
          <a:headEnd/>
          <a:tailEnd/>
        </a:ln>
      </xdr:spPr>
      <xdr:txBody>
        <a:bodyPr vertOverflow="clip" wrap="square" lIns="91440" tIns="45720" rIns="91440" bIns="45720" anchor="ctr" upright="1"/>
        <a:lstStyle/>
        <a:p>
          <a:pPr marL="0" indent="0" algn="ctr" rtl="0">
            <a:defRPr sz="1000"/>
          </a:pPr>
          <a:r>
            <a:rPr lang="en-US" sz="1000" b="1" i="0" strike="noStrike">
              <a:solidFill>
                <a:srgbClr val="4A442A"/>
              </a:solidFill>
              <a:latin typeface="Palatino Linotype"/>
              <a:ea typeface="+mn-ea"/>
              <a:cs typeface="+mn-cs"/>
            </a:rPr>
            <a:t>WATER SUPPLY</a:t>
          </a:r>
        </a:p>
      </xdr:txBody>
    </xdr:sp>
    <xdr:clientData/>
  </xdr:twoCellAnchor>
  <xdr:twoCellAnchor>
    <xdr:from>
      <xdr:col>5</xdr:col>
      <xdr:colOff>0</xdr:colOff>
      <xdr:row>23</xdr:row>
      <xdr:rowOff>130692</xdr:rowOff>
    </xdr:from>
    <xdr:to>
      <xdr:col>5</xdr:col>
      <xdr:colOff>1952625</xdr:colOff>
      <xdr:row>25</xdr:row>
      <xdr:rowOff>119064</xdr:rowOff>
    </xdr:to>
    <xdr:sp macro="" textlink="">
      <xdr:nvSpPr>
        <xdr:cNvPr id="45" name="TextBox 44"/>
        <xdr:cNvSpPr txBox="1"/>
      </xdr:nvSpPr>
      <xdr:spPr>
        <a:xfrm>
          <a:off x="8024813" y="5988567"/>
          <a:ext cx="1952625" cy="369372"/>
        </a:xfrm>
        <a:prstGeom prst="rect">
          <a:avLst/>
        </a:prstGeom>
        <a:solidFill>
          <a:srgbClr val="FFFFFF"/>
        </a:solidFill>
        <a:ln w="9525">
          <a:noFill/>
          <a:prstDash val="dash"/>
          <a:miter lim="800000"/>
          <a:headEnd/>
          <a:tailEnd/>
        </a:ln>
      </xdr:spPr>
      <xdr:txBody>
        <a:bodyPr vertOverflow="clip" wrap="square" lIns="91440" tIns="45720" rIns="91440" bIns="45720" anchor="ctr" upright="1"/>
        <a:lstStyle/>
        <a:p>
          <a:pPr marL="0" indent="0" algn="ctr" rtl="0">
            <a:defRPr sz="1000"/>
          </a:pPr>
          <a:r>
            <a:rPr lang="en-US" sz="1000" b="1" i="0" strike="noStrike">
              <a:solidFill>
                <a:srgbClr val="4A442A"/>
              </a:solidFill>
              <a:latin typeface="Palatino Linotype"/>
              <a:ea typeface="+mn-ea"/>
              <a:cs typeface="+mn-cs"/>
            </a:rPr>
            <a:t>WASTE WATER</a:t>
          </a:r>
        </a:p>
      </xdr:txBody>
    </xdr:sp>
    <xdr:clientData/>
  </xdr:twoCellAnchor>
  <xdr:twoCellAnchor>
    <xdr:from>
      <xdr:col>5</xdr:col>
      <xdr:colOff>0</xdr:colOff>
      <xdr:row>27</xdr:row>
      <xdr:rowOff>25360</xdr:rowOff>
    </xdr:from>
    <xdr:to>
      <xdr:col>5</xdr:col>
      <xdr:colOff>1987486</xdr:colOff>
      <xdr:row>28</xdr:row>
      <xdr:rowOff>181846</xdr:rowOff>
    </xdr:to>
    <xdr:sp macro="" textlink="">
      <xdr:nvSpPr>
        <xdr:cNvPr id="46" name="TextBox 45"/>
        <xdr:cNvSpPr txBox="1"/>
      </xdr:nvSpPr>
      <xdr:spPr>
        <a:xfrm>
          <a:off x="8024813" y="6645235"/>
          <a:ext cx="1987486" cy="346986"/>
        </a:xfrm>
        <a:prstGeom prst="rect">
          <a:avLst/>
        </a:prstGeom>
        <a:solidFill>
          <a:srgbClr val="FFFFFF"/>
        </a:solidFill>
        <a:ln w="9525">
          <a:noFill/>
          <a:prstDash val="dash"/>
          <a:miter lim="800000"/>
          <a:headEnd/>
          <a:tailEnd/>
        </a:ln>
      </xdr:spPr>
      <xdr:txBody>
        <a:bodyPr vertOverflow="clip" wrap="square" lIns="91440" tIns="45720" rIns="91440" bIns="45720" anchor="ctr" upright="1"/>
        <a:lstStyle/>
        <a:p>
          <a:pPr marL="0" indent="0" algn="ctr" rtl="0">
            <a:defRPr sz="1000"/>
          </a:pPr>
          <a:r>
            <a:rPr lang="en-US" sz="1000" b="1" i="0" strike="noStrike">
              <a:solidFill>
                <a:srgbClr val="4A442A"/>
              </a:solidFill>
              <a:latin typeface="Palatino Linotype"/>
              <a:ea typeface="+mn-ea"/>
              <a:cs typeface="+mn-cs"/>
            </a:rPr>
            <a:t>SOLID WASTE</a:t>
          </a:r>
        </a:p>
      </xdr:txBody>
    </xdr:sp>
    <xdr:clientData/>
  </xdr:twoCellAnchor>
  <xdr:twoCellAnchor>
    <xdr:from>
      <xdr:col>5</xdr:col>
      <xdr:colOff>0</xdr:colOff>
      <xdr:row>17</xdr:row>
      <xdr:rowOff>34382</xdr:rowOff>
    </xdr:from>
    <xdr:to>
      <xdr:col>5</xdr:col>
      <xdr:colOff>2070280</xdr:colOff>
      <xdr:row>19</xdr:row>
      <xdr:rowOff>12713</xdr:rowOff>
    </xdr:to>
    <xdr:sp macro="" textlink="">
      <xdr:nvSpPr>
        <xdr:cNvPr id="24" name="Text Box 11"/>
        <xdr:cNvSpPr txBox="1">
          <a:spLocks noChangeArrowheads="1"/>
        </xdr:cNvSpPr>
      </xdr:nvSpPr>
      <xdr:spPr bwMode="auto">
        <a:xfrm>
          <a:off x="8024813" y="4749257"/>
          <a:ext cx="2070280" cy="359331"/>
        </a:xfrm>
        <a:prstGeom prst="rect">
          <a:avLst/>
        </a:prstGeom>
        <a:solidFill>
          <a:schemeClr val="accent1"/>
        </a:solidFill>
        <a:ln w="9525">
          <a:solidFill>
            <a:srgbClr val="484329"/>
          </a:solidFill>
          <a:prstDash val="dash"/>
          <a:miter lim="800000"/>
          <a:headEnd/>
          <a:tailEnd/>
        </a:ln>
      </xdr:spPr>
      <xdr:txBody>
        <a:bodyPr vertOverflow="clip" wrap="square" lIns="91440" tIns="45720" rIns="91440" bIns="45720" anchor="ctr" upright="1"/>
        <a:lstStyle/>
        <a:p>
          <a:pPr algn="ctr" rtl="0">
            <a:defRPr sz="1000"/>
          </a:pPr>
          <a:r>
            <a:rPr lang="en-US" sz="1100" b="1" i="0" strike="noStrike">
              <a:solidFill>
                <a:schemeClr val="bg1"/>
              </a:solidFill>
              <a:latin typeface="Palatino Linotype"/>
            </a:rPr>
            <a:t>TARGET</a:t>
          </a:r>
          <a:r>
            <a:rPr lang="en-US" sz="1100" b="1" i="0" strike="noStrike" baseline="0">
              <a:solidFill>
                <a:schemeClr val="bg1"/>
              </a:solidFill>
              <a:latin typeface="Palatino Linotype"/>
            </a:rPr>
            <a:t> MODEL</a:t>
          </a:r>
          <a:endParaRPr lang="en-US" sz="1100" b="1" i="0" strike="noStrike">
            <a:solidFill>
              <a:schemeClr val="bg1"/>
            </a:solidFill>
            <a:latin typeface="Palatino Linotype"/>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542925</xdr:colOff>
      <xdr:row>47</xdr:row>
      <xdr:rowOff>190500</xdr:rowOff>
    </xdr:from>
    <xdr:to>
      <xdr:col>1</xdr:col>
      <xdr:colOff>1609725</xdr:colOff>
      <xdr:row>50</xdr:row>
      <xdr:rowOff>28575</xdr:rowOff>
    </xdr:to>
    <xdr:pic>
      <xdr:nvPicPr>
        <xdr:cNvPr id="2" name="Picture 7"/>
        <xdr:cNvPicPr>
          <a:picLocks noChangeAspect="1" noChangeArrowheads="1"/>
        </xdr:cNvPicPr>
      </xdr:nvPicPr>
      <xdr:blipFill>
        <a:blip xmlns:r="http://schemas.openxmlformats.org/officeDocument/2006/relationships" r:embed="rId1" cstate="print"/>
        <a:srcRect/>
        <a:stretch>
          <a:fillRect/>
        </a:stretch>
      </xdr:blipFill>
      <xdr:spPr bwMode="auto">
        <a:xfrm>
          <a:off x="885825" y="9439275"/>
          <a:ext cx="1066800" cy="409575"/>
        </a:xfrm>
        <a:prstGeom prst="rect">
          <a:avLst/>
        </a:prstGeom>
        <a:noFill/>
        <a:ln w="9525">
          <a:noFill/>
          <a:round/>
          <a:headEnd/>
          <a:tailEnd/>
        </a:ln>
        <a:effectLst/>
      </xdr:spPr>
    </xdr:pic>
    <xdr:clientData/>
  </xdr:twoCellAnchor>
  <xdr:twoCellAnchor>
    <xdr:from>
      <xdr:col>2</xdr:col>
      <xdr:colOff>571500</xdr:colOff>
      <xdr:row>47</xdr:row>
      <xdr:rowOff>19050</xdr:rowOff>
    </xdr:from>
    <xdr:to>
      <xdr:col>3</xdr:col>
      <xdr:colOff>304800</xdr:colOff>
      <xdr:row>50</xdr:row>
      <xdr:rowOff>171450</xdr:rowOff>
    </xdr:to>
    <xdr:pic>
      <xdr:nvPicPr>
        <xdr:cNvPr id="3" name="Picture 2375"/>
        <xdr:cNvPicPr>
          <a:picLocks noChangeAspect="1" noChangeArrowheads="1"/>
        </xdr:cNvPicPr>
      </xdr:nvPicPr>
      <xdr:blipFill>
        <a:blip xmlns:r="http://schemas.openxmlformats.org/officeDocument/2006/relationships" r:embed="rId2" cstate="print"/>
        <a:srcRect/>
        <a:stretch>
          <a:fillRect/>
        </a:stretch>
      </xdr:blipFill>
      <xdr:spPr bwMode="auto">
        <a:xfrm>
          <a:off x="5657850" y="9267825"/>
          <a:ext cx="685800" cy="723900"/>
        </a:xfrm>
        <a:prstGeom prst="rect">
          <a:avLst/>
        </a:prstGeom>
        <a:noFill/>
        <a:ln w="12600">
          <a:solidFill>
            <a:srgbClr val="000000"/>
          </a:solidFill>
          <a:miter lim="800000"/>
          <a:headEnd/>
          <a:tailEnd/>
        </a:ln>
        <a:effectLst/>
      </xdr:spPr>
    </xdr:pic>
    <xdr:clientData/>
  </xdr:twoCellAnchor>
  <xdr:twoCellAnchor>
    <xdr:from>
      <xdr:col>1</xdr:col>
      <xdr:colOff>2562225</xdr:colOff>
      <xdr:row>46</xdr:row>
      <xdr:rowOff>57150</xdr:rowOff>
    </xdr:from>
    <xdr:to>
      <xdr:col>2</xdr:col>
      <xdr:colOff>0</xdr:colOff>
      <xdr:row>51</xdr:row>
      <xdr:rowOff>123825</xdr:rowOff>
    </xdr:to>
    <xdr:pic>
      <xdr:nvPicPr>
        <xdr:cNvPr id="4" name="Picture 2381"/>
        <xdr:cNvPicPr>
          <a:picLocks noChangeAspect="1" noChangeArrowheads="1"/>
        </xdr:cNvPicPr>
      </xdr:nvPicPr>
      <xdr:blipFill>
        <a:blip xmlns:r="http://schemas.openxmlformats.org/officeDocument/2006/relationships" r:embed="rId3" cstate="print"/>
        <a:srcRect/>
        <a:stretch>
          <a:fillRect/>
        </a:stretch>
      </xdr:blipFill>
      <xdr:spPr bwMode="auto">
        <a:xfrm>
          <a:off x="2905125" y="9810750"/>
          <a:ext cx="647700" cy="1019175"/>
        </a:xfrm>
        <a:prstGeom prst="rect">
          <a:avLst/>
        </a:prstGeom>
        <a:noFill/>
        <a:ln w="12600">
          <a:solidFill>
            <a:srgbClr val="000000"/>
          </a:solidFill>
          <a:miter lim="800000"/>
          <a:headEnd/>
          <a:tailEnd/>
        </a:ln>
        <a:effectLst/>
      </xdr:spPr>
    </xdr:pic>
    <xdr:clientData/>
  </xdr:twoCellAnchor>
  <xdr:twoCellAnchor>
    <xdr:from>
      <xdr:col>1</xdr:col>
      <xdr:colOff>523875</xdr:colOff>
      <xdr:row>106</xdr:row>
      <xdr:rowOff>114300</xdr:rowOff>
    </xdr:from>
    <xdr:to>
      <xdr:col>1</xdr:col>
      <xdr:colOff>1514475</xdr:colOff>
      <xdr:row>108</xdr:row>
      <xdr:rowOff>190500</xdr:rowOff>
    </xdr:to>
    <xdr:pic>
      <xdr:nvPicPr>
        <xdr:cNvPr id="5" name="Picture 7"/>
        <xdr:cNvPicPr>
          <a:picLocks noChangeAspect="1" noChangeArrowheads="1"/>
        </xdr:cNvPicPr>
      </xdr:nvPicPr>
      <xdr:blipFill>
        <a:blip xmlns:r="http://schemas.openxmlformats.org/officeDocument/2006/relationships" r:embed="rId4" cstate="print"/>
        <a:srcRect/>
        <a:stretch>
          <a:fillRect/>
        </a:stretch>
      </xdr:blipFill>
      <xdr:spPr bwMode="auto">
        <a:xfrm>
          <a:off x="866775" y="20602575"/>
          <a:ext cx="990600" cy="457200"/>
        </a:xfrm>
        <a:prstGeom prst="rect">
          <a:avLst/>
        </a:prstGeom>
        <a:noFill/>
        <a:ln w="9525">
          <a:noFill/>
          <a:round/>
          <a:headEnd/>
          <a:tailEnd/>
        </a:ln>
        <a:effectLst/>
      </xdr:spPr>
    </xdr:pic>
    <xdr:clientData/>
  </xdr:twoCellAnchor>
  <xdr:twoCellAnchor>
    <xdr:from>
      <xdr:col>2</xdr:col>
      <xdr:colOff>647700</xdr:colOff>
      <xdr:row>106</xdr:row>
      <xdr:rowOff>38100</xdr:rowOff>
    </xdr:from>
    <xdr:to>
      <xdr:col>3</xdr:col>
      <xdr:colOff>476250</xdr:colOff>
      <xdr:row>109</xdr:row>
      <xdr:rowOff>76200</xdr:rowOff>
    </xdr:to>
    <xdr:pic>
      <xdr:nvPicPr>
        <xdr:cNvPr id="6" name="Picture 2375"/>
        <xdr:cNvPicPr>
          <a:picLocks noChangeAspect="1" noChangeArrowheads="1"/>
        </xdr:cNvPicPr>
      </xdr:nvPicPr>
      <xdr:blipFill>
        <a:blip xmlns:r="http://schemas.openxmlformats.org/officeDocument/2006/relationships" r:embed="rId2" cstate="print"/>
        <a:srcRect/>
        <a:stretch>
          <a:fillRect/>
        </a:stretch>
      </xdr:blipFill>
      <xdr:spPr bwMode="auto">
        <a:xfrm>
          <a:off x="5734050" y="20526375"/>
          <a:ext cx="781050" cy="609600"/>
        </a:xfrm>
        <a:prstGeom prst="rect">
          <a:avLst/>
        </a:prstGeom>
        <a:noFill/>
        <a:ln w="12600">
          <a:solidFill>
            <a:srgbClr val="000000"/>
          </a:solidFill>
          <a:miter lim="800000"/>
          <a:headEnd/>
          <a:tailEnd/>
        </a:ln>
        <a:effectLst/>
      </xdr:spPr>
    </xdr:pic>
    <xdr:clientData/>
  </xdr:twoCellAnchor>
  <xdr:twoCellAnchor>
    <xdr:from>
      <xdr:col>1</xdr:col>
      <xdr:colOff>2571750</xdr:colOff>
      <xdr:row>105</xdr:row>
      <xdr:rowOff>104775</xdr:rowOff>
    </xdr:from>
    <xdr:to>
      <xdr:col>2</xdr:col>
      <xdr:colOff>0</xdr:colOff>
      <xdr:row>110</xdr:row>
      <xdr:rowOff>57150</xdr:rowOff>
    </xdr:to>
    <xdr:pic>
      <xdr:nvPicPr>
        <xdr:cNvPr id="7" name="Picture 2381"/>
        <xdr:cNvPicPr>
          <a:picLocks noChangeAspect="1" noChangeArrowheads="1"/>
        </xdr:cNvPicPr>
      </xdr:nvPicPr>
      <xdr:blipFill>
        <a:blip xmlns:r="http://schemas.openxmlformats.org/officeDocument/2006/relationships" r:embed="rId3" cstate="print"/>
        <a:srcRect/>
        <a:stretch>
          <a:fillRect/>
        </a:stretch>
      </xdr:blipFill>
      <xdr:spPr bwMode="auto">
        <a:xfrm>
          <a:off x="2914650" y="21907500"/>
          <a:ext cx="638175" cy="904875"/>
        </a:xfrm>
        <a:prstGeom prst="rect">
          <a:avLst/>
        </a:prstGeom>
        <a:noFill/>
        <a:ln w="12600">
          <a:solidFill>
            <a:srgbClr val="000000"/>
          </a:solidFill>
          <a:miter lim="800000"/>
          <a:headEnd/>
          <a:tailEn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11.%20INDICATORS%20&amp;%20CHECKLIST\Data%20Validation\GUJARAT\Validated%20checklist\MC\Ahmedabad.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Vadodar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SLB%20target%20setting\1.%20Maharashtra\State%20investment%20model\Mah%20WS%20ULB%20%20target_Nov2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Admin\Downloads\Target%20Model%20Gujarat%20Final.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Reliability"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Admin\Downloads\Kadi%20Round%204%20checklist.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over Page"/>
      <sheetName val="Contents"/>
      <sheetName val="I"/>
      <sheetName val="II"/>
      <sheetName val="III"/>
      <sheetName val="IV"/>
      <sheetName val="V"/>
      <sheetName val="VI"/>
      <sheetName val="VII"/>
      <sheetName val="VIII"/>
      <sheetName val="IX"/>
      <sheetName val="X"/>
      <sheetName val="Appendix-1"/>
      <sheetName val="Appendix-2"/>
      <sheetName val="Summary_Water"/>
      <sheetName val="1.1"/>
      <sheetName val="1.2"/>
      <sheetName val="Summary_Wastewater"/>
      <sheetName val="2.1"/>
      <sheetName val="2.2"/>
      <sheetName val="Summary_SWM"/>
      <sheetName val="Error Checks for sheets"/>
      <sheetName val="ULB Profile 1"/>
      <sheetName val="ULB Profile 2"/>
      <sheetName val="IWA WaterBalance_NRW"/>
      <sheetName val="3.1"/>
      <sheetName val="3.2"/>
      <sheetName val="Basic_BckUp_Cal"/>
      <sheetName val="Names 2010-Jan-18"/>
      <sheetName val="flooding incidents"/>
      <sheetName val="Ahmedabad"/>
      <sheetName val="sewerage"/>
      <sheetName val="Reliability"/>
      <sheetName val="Equity Related Information"/>
      <sheetName val="swm"/>
      <sheetName val="water"/>
      <sheetName val="General Info"/>
    </sheetNames>
    <sheetDataSet>
      <sheetData sheetId="0"/>
      <sheetData sheetId="1"/>
      <sheetData sheetId="2">
        <row r="7">
          <cell r="B7">
            <v>2001</v>
          </cell>
        </row>
      </sheetData>
      <sheetData sheetId="3"/>
      <sheetData sheetId="4">
        <row r="69">
          <cell r="F69">
            <v>1063901</v>
          </cell>
        </row>
      </sheetData>
      <sheetData sheetId="5"/>
      <sheetData sheetId="6"/>
      <sheetData sheetId="7"/>
      <sheetData sheetId="8">
        <row r="8">
          <cell r="E8">
            <v>317235</v>
          </cell>
        </row>
        <row r="25">
          <cell r="G25">
            <v>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4">
          <cell r="C4">
            <v>1265372</v>
          </cell>
        </row>
      </sheetData>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I"/>
      <sheetName val="X"/>
      <sheetName val="Basic_BckUp_Cal"/>
      <sheetName val="I"/>
      <sheetName val="Cover Page"/>
      <sheetName val="Contents"/>
      <sheetName val="III"/>
      <sheetName val="IV"/>
      <sheetName val="V"/>
      <sheetName val="VI"/>
      <sheetName val="VII"/>
      <sheetName val="VIII"/>
      <sheetName val="IX"/>
      <sheetName val="Appendix-1"/>
      <sheetName val="Appendix-2"/>
      <sheetName val="Summary_Water"/>
      <sheetName val="1.1"/>
      <sheetName val="1.2"/>
      <sheetName val="Summary_Wastewater"/>
      <sheetName val="2.1"/>
      <sheetName val="2.2"/>
      <sheetName val="Summary_SWM"/>
      <sheetName val="Error Checks for sheets"/>
      <sheetName val="ULB Profile 1"/>
      <sheetName val="ULB Profile 2"/>
      <sheetName val="IWA WaterBalance_NRW"/>
      <sheetName val="3.1"/>
      <sheetName val="3.2"/>
      <sheetName val="Names 2010-Jan-18"/>
      <sheetName val="Vadodara"/>
      <sheetName val="Reliability"/>
      <sheetName val="sewerage"/>
      <sheetName val="Equity Related Information"/>
      <sheetName val="swm"/>
      <sheetName val="water"/>
      <sheetName val="General Info"/>
    </sheetNames>
    <sheetDataSet>
      <sheetData sheetId="0"/>
      <sheetData sheetId="1"/>
      <sheetData sheetId="2"/>
      <sheetData sheetId="3"/>
      <sheetData sheetId="4"/>
      <sheetData sheetId="5"/>
      <sheetData sheetId="6">
        <row r="6">
          <cell r="H6" t="str">
            <v>Y</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User Guide"/>
      <sheetName val="state target"/>
      <sheetName val="ULB target"/>
      <sheetName val="Summary of actions"/>
      <sheetName val="Summary"/>
      <sheetName val="KPIs"/>
      <sheetName val="Assumption"/>
      <sheetName val="coverage"/>
      <sheetName val="water quantity"/>
      <sheetName val="Revenue"/>
      <sheetName val="capex"/>
      <sheetName val="ULB"/>
      <sheetName val="SLB targets"/>
    </sheetNames>
    <sheetDataSet>
      <sheetData sheetId="0"/>
      <sheetData sheetId="1"/>
      <sheetData sheetId="2"/>
      <sheetData sheetId="3"/>
      <sheetData sheetId="4"/>
      <sheetData sheetId="5"/>
      <sheetData sheetId="6">
        <row r="9">
          <cell r="F9">
            <v>1000</v>
          </cell>
        </row>
      </sheetData>
      <sheetData sheetId="7">
        <row r="12">
          <cell r="A12">
            <v>1</v>
          </cell>
        </row>
      </sheetData>
      <sheetData sheetId="8">
        <row r="8">
          <cell r="A8">
            <v>1</v>
          </cell>
        </row>
      </sheetData>
      <sheetData sheetId="9">
        <row r="14">
          <cell r="A14">
            <v>1</v>
          </cell>
          <cell r="BI14">
            <v>4.6637917808219198</v>
          </cell>
        </row>
        <row r="15">
          <cell r="BI15">
            <v>1.0488502336567833</v>
          </cell>
        </row>
        <row r="17">
          <cell r="BI17">
            <v>4.5491814233210821</v>
          </cell>
        </row>
        <row r="19">
          <cell r="BI19">
            <v>1.8972289383561645</v>
          </cell>
        </row>
        <row r="21">
          <cell r="BI21">
            <v>1.3154044444444444</v>
          </cell>
        </row>
        <row r="22">
          <cell r="BI22">
            <v>1.0309938553469755</v>
          </cell>
        </row>
        <row r="24">
          <cell r="BI24">
            <v>1.3549190535491906</v>
          </cell>
        </row>
        <row r="25">
          <cell r="BI25">
            <v>0.45690728732769359</v>
          </cell>
        </row>
        <row r="26">
          <cell r="BI26">
            <v>1.5145277577505407</v>
          </cell>
        </row>
        <row r="27">
          <cell r="BI27">
            <v>2.2020602739726027</v>
          </cell>
        </row>
        <row r="29">
          <cell r="BI29">
            <v>0.4962513329505373</v>
          </cell>
        </row>
        <row r="31">
          <cell r="BI31">
            <v>1.4455790784557909</v>
          </cell>
        </row>
        <row r="32">
          <cell r="BI32">
            <v>2.1757457301078404</v>
          </cell>
        </row>
        <row r="34">
          <cell r="BI34">
            <v>0.72169931831461409</v>
          </cell>
        </row>
        <row r="35">
          <cell r="BI35">
            <v>0.33397260273972601</v>
          </cell>
        </row>
        <row r="36">
          <cell r="BI36">
            <v>9.441714394167755E-2</v>
          </cell>
        </row>
        <row r="37">
          <cell r="BI37">
            <v>1.3572806009721607</v>
          </cell>
        </row>
        <row r="39">
          <cell r="BI39">
            <v>3.3133107481600508</v>
          </cell>
        </row>
        <row r="40">
          <cell r="BI40">
            <v>0.76712328767123283</v>
          </cell>
        </row>
        <row r="41">
          <cell r="BI41">
            <v>0.30372155917455462</v>
          </cell>
        </row>
        <row r="43">
          <cell r="BI43">
            <v>8.0946450809464512E-2</v>
          </cell>
        </row>
        <row r="44">
          <cell r="BI44">
            <v>2.1611364789446981</v>
          </cell>
        </row>
        <row r="46">
          <cell r="BI46">
            <v>1.9178082191780821</v>
          </cell>
        </row>
        <row r="47">
          <cell r="BI47">
            <v>0.59805936073059363</v>
          </cell>
        </row>
        <row r="48">
          <cell r="BI48">
            <v>0.93711083437110831</v>
          </cell>
        </row>
        <row r="49">
          <cell r="BI49">
            <v>1.6904788859956978</v>
          </cell>
        </row>
        <row r="50">
          <cell r="BI50">
            <v>5.5547945205479454</v>
          </cell>
        </row>
        <row r="53">
          <cell r="BI53">
            <v>0.94932172211350296</v>
          </cell>
        </row>
        <row r="54">
          <cell r="BI54">
            <v>1.4179927313391112</v>
          </cell>
        </row>
        <row r="56">
          <cell r="BI56">
            <v>0.21019537390523241</v>
          </cell>
        </row>
        <row r="57">
          <cell r="BI57">
            <v>1.9529109589041096</v>
          </cell>
        </row>
        <row r="58">
          <cell r="BI58">
            <v>2.1145147529900359</v>
          </cell>
        </row>
        <row r="59">
          <cell r="BI59">
            <v>0.66575342465753418</v>
          </cell>
        </row>
        <row r="60">
          <cell r="BI60">
            <v>0.57003291918870125</v>
          </cell>
        </row>
        <row r="61">
          <cell r="BI61">
            <v>1.2589911719939118</v>
          </cell>
        </row>
        <row r="62">
          <cell r="BI62">
            <v>2.4730265585686331</v>
          </cell>
        </row>
        <row r="63">
          <cell r="BI63">
            <v>2.2017612524461843</v>
          </cell>
        </row>
        <row r="64">
          <cell r="BI64">
            <v>2.54479800747198</v>
          </cell>
        </row>
        <row r="65">
          <cell r="BI65">
            <v>2.6587595129375949</v>
          </cell>
        </row>
        <row r="66">
          <cell r="BI66">
            <v>2.592123287671233</v>
          </cell>
        </row>
        <row r="67">
          <cell r="BI67">
            <v>0.65566614481409002</v>
          </cell>
        </row>
        <row r="68">
          <cell r="BI68">
            <v>5.7077625570776253E-2</v>
          </cell>
        </row>
        <row r="70">
          <cell r="BI70">
            <v>1.9777397260273974</v>
          </cell>
        </row>
        <row r="71">
          <cell r="BI71">
            <v>3.46085737308622</v>
          </cell>
        </row>
        <row r="72">
          <cell r="BI72">
            <v>1.5682694063926941</v>
          </cell>
        </row>
        <row r="73">
          <cell r="BI73">
            <v>2.1424657534246578</v>
          </cell>
        </row>
        <row r="74">
          <cell r="BI74">
            <v>0.86859462201927951</v>
          </cell>
        </row>
        <row r="76">
          <cell r="BI76">
            <v>2.0023972602739724</v>
          </cell>
        </row>
        <row r="77">
          <cell r="BI77">
            <v>2.3644352545877489</v>
          </cell>
        </row>
        <row r="78">
          <cell r="BI78">
            <v>2.3130912328767126</v>
          </cell>
        </row>
        <row r="79">
          <cell r="BI79">
            <v>1.4613132123626027</v>
          </cell>
        </row>
        <row r="80">
          <cell r="BI80">
            <v>4.0109589041095886</v>
          </cell>
        </row>
        <row r="81">
          <cell r="BI81">
            <v>1.4999287671232877</v>
          </cell>
        </row>
        <row r="82">
          <cell r="BI82">
            <v>2.2757990867579907</v>
          </cell>
        </row>
        <row r="83">
          <cell r="BI83">
            <v>0.30652328767123288</v>
          </cell>
        </row>
        <row r="85">
          <cell r="BI85">
            <v>0.69798934817551528</v>
          </cell>
        </row>
        <row r="86">
          <cell r="BI86">
            <v>0.1682648401826484</v>
          </cell>
        </row>
        <row r="87">
          <cell r="BI87">
            <v>3.4297945205479454</v>
          </cell>
        </row>
        <row r="88">
          <cell r="BI88">
            <v>2.8348336594911934</v>
          </cell>
        </row>
        <row r="89">
          <cell r="BI89">
            <v>0.74831696522655422</v>
          </cell>
        </row>
        <row r="90">
          <cell r="BI90">
            <v>2.3882316313823164</v>
          </cell>
        </row>
        <row r="91">
          <cell r="BI91">
            <v>1.5831050228310501</v>
          </cell>
        </row>
        <row r="93">
          <cell r="BI93">
            <v>1.106204673650282</v>
          </cell>
        </row>
        <row r="94">
          <cell r="BI94">
            <v>0.76172602739726036</v>
          </cell>
        </row>
        <row r="95">
          <cell r="BI95">
            <v>1.5616232386307909</v>
          </cell>
        </row>
        <row r="96">
          <cell r="BI96">
            <v>1.0876712328767122</v>
          </cell>
        </row>
        <row r="97">
          <cell r="BI97">
            <v>2.6398585947856827</v>
          </cell>
        </row>
        <row r="98">
          <cell r="BI98">
            <v>3.6150684931506851</v>
          </cell>
        </row>
        <row r="100">
          <cell r="BI100">
            <v>1.5182648401826484</v>
          </cell>
        </row>
        <row r="101">
          <cell r="BI101">
            <v>0.99090986301369866</v>
          </cell>
        </row>
        <row r="102">
          <cell r="BI102">
            <v>1.8894977168949771</v>
          </cell>
        </row>
        <row r="103">
          <cell r="BI103">
            <v>2.7412998477929986</v>
          </cell>
        </row>
        <row r="104">
          <cell r="BI104">
            <v>7.7141232876712333</v>
          </cell>
        </row>
        <row r="105">
          <cell r="BI105">
            <v>1.4712328767123288</v>
          </cell>
        </row>
        <row r="106">
          <cell r="BI106">
            <v>1.4023716497915424</v>
          </cell>
        </row>
        <row r="107">
          <cell r="BI107">
            <v>3.9314730056406124</v>
          </cell>
        </row>
        <row r="108">
          <cell r="BI108">
            <v>2.1532497814048384</v>
          </cell>
        </row>
        <row r="109">
          <cell r="BI109">
            <v>2.342132602739726</v>
          </cell>
        </row>
        <row r="110">
          <cell r="BI110">
            <v>2.4498055770942821</v>
          </cell>
        </row>
        <row r="111">
          <cell r="BI111">
            <v>1.6660587084148726</v>
          </cell>
        </row>
        <row r="112">
          <cell r="BI112">
            <v>1.2294475387626074</v>
          </cell>
        </row>
        <row r="113">
          <cell r="BI113">
            <v>0.48802115990679562</v>
          </cell>
        </row>
        <row r="114">
          <cell r="BI114">
            <v>0.38201245330012451</v>
          </cell>
        </row>
        <row r="115">
          <cell r="BI115">
            <v>0.36049026676279738</v>
          </cell>
        </row>
        <row r="117">
          <cell r="BI117">
            <v>0.12453300124533001</v>
          </cell>
        </row>
        <row r="118">
          <cell r="BI118">
            <v>0.39198244677696731</v>
          </cell>
        </row>
        <row r="119">
          <cell r="BI119">
            <v>1.3209523809523811</v>
          </cell>
        </row>
        <row r="121">
          <cell r="BI121">
            <v>2.9498760600130463</v>
          </cell>
        </row>
        <row r="122">
          <cell r="BI122">
            <v>1.0476190476190477</v>
          </cell>
        </row>
        <row r="123">
          <cell r="BI123">
            <v>2.2247488584474886</v>
          </cell>
        </row>
        <row r="125">
          <cell r="BI125">
            <v>1.6438356164383561</v>
          </cell>
        </row>
        <row r="126">
          <cell r="BI126">
            <v>0.11643835616438357</v>
          </cell>
        </row>
        <row r="127">
          <cell r="BI127">
            <v>1.3860013698630136</v>
          </cell>
        </row>
        <row r="129">
          <cell r="BI129">
            <v>0.45742299709423001</v>
          </cell>
        </row>
        <row r="131">
          <cell r="BI131">
            <v>1.0314280821917807</v>
          </cell>
        </row>
        <row r="132">
          <cell r="BI132">
            <v>3.3106439930719572E-2</v>
          </cell>
        </row>
        <row r="134">
          <cell r="BI134">
            <v>3.1359325605900947</v>
          </cell>
        </row>
        <row r="135">
          <cell r="BI135">
            <v>2.0158873668188737</v>
          </cell>
        </row>
        <row r="137">
          <cell r="BI137">
            <v>0.79648208640674389</v>
          </cell>
        </row>
        <row r="138">
          <cell r="BI138">
            <v>0.61872146118721461</v>
          </cell>
        </row>
        <row r="139">
          <cell r="BI139">
            <v>1.095890410958904</v>
          </cell>
        </row>
        <row r="140">
          <cell r="BI140">
            <v>1.3324200913242008</v>
          </cell>
        </row>
        <row r="141">
          <cell r="BI141">
            <v>2.7045390596075527</v>
          </cell>
        </row>
        <row r="142">
          <cell r="BI142">
            <v>1.7659817351598175</v>
          </cell>
        </row>
        <row r="143">
          <cell r="BI143">
            <v>1.8700587084148728</v>
          </cell>
        </row>
        <row r="145">
          <cell r="BI145">
            <v>1.0232038020687728</v>
          </cell>
        </row>
        <row r="146">
          <cell r="BI146">
            <v>0.59200391389432483</v>
          </cell>
        </row>
        <row r="147">
          <cell r="BI147">
            <v>0.17312644722889481</v>
          </cell>
        </row>
        <row r="149">
          <cell r="BI149">
            <v>1.2453300124533</v>
          </cell>
        </row>
        <row r="150">
          <cell r="BI150">
            <v>0.12328767123287672</v>
          </cell>
        </row>
        <row r="151">
          <cell r="BI151">
            <v>3.2986301369863011</v>
          </cell>
        </row>
        <row r="152">
          <cell r="BI152">
            <v>1.7745952677459529</v>
          </cell>
        </row>
        <row r="153">
          <cell r="BI153">
            <v>0.20570776255707762</v>
          </cell>
        </row>
        <row r="154">
          <cell r="BI154">
            <v>1.840388762049721</v>
          </cell>
        </row>
        <row r="155">
          <cell r="BI155">
            <v>2.1441334127456817</v>
          </cell>
        </row>
        <row r="157">
          <cell r="BI157">
            <v>0.69113260273972599</v>
          </cell>
        </row>
        <row r="158">
          <cell r="BI158">
            <v>7.7859589041095889</v>
          </cell>
        </row>
        <row r="159">
          <cell r="BI159">
            <v>0.66657251800593142</v>
          </cell>
        </row>
        <row r="160">
          <cell r="BI160">
            <v>2.0322897260273973</v>
          </cell>
        </row>
        <row r="161">
          <cell r="BI161">
            <v>2.7574905697836019</v>
          </cell>
        </row>
        <row r="162">
          <cell r="BI162">
            <v>1.1535688536409516</v>
          </cell>
        </row>
        <row r="163">
          <cell r="BI163">
            <v>1.3268101761252447</v>
          </cell>
        </row>
        <row r="164">
          <cell r="BI164">
            <v>3.0410958904109591</v>
          </cell>
        </row>
        <row r="165">
          <cell r="BI165">
            <v>3.6849315068493151</v>
          </cell>
        </row>
        <row r="166">
          <cell r="BI166">
            <v>0.38932948810382118</v>
          </cell>
        </row>
        <row r="167">
          <cell r="BI167">
            <v>0.16978687553588984</v>
          </cell>
        </row>
        <row r="169">
          <cell r="BI169">
            <v>4.646575342465753</v>
          </cell>
        </row>
        <row r="170">
          <cell r="BI170">
            <v>2.0493150684931507</v>
          </cell>
        </row>
        <row r="172">
          <cell r="BI172">
            <v>6.3998136986301368</v>
          </cell>
        </row>
        <row r="173">
          <cell r="BI173">
            <v>1.5564794520547947</v>
          </cell>
        </row>
        <row r="175">
          <cell r="BI175">
            <v>4.8584474885844751E-3</v>
          </cell>
        </row>
        <row r="176">
          <cell r="BI176">
            <v>0.7852575342465753</v>
          </cell>
        </row>
        <row r="177">
          <cell r="BI177">
            <v>2.8253694138782843</v>
          </cell>
        </row>
        <row r="178">
          <cell r="BI178">
            <v>1.3205479452054796</v>
          </cell>
        </row>
        <row r="179">
          <cell r="BI179">
            <v>0.63683333333333336</v>
          </cell>
        </row>
        <row r="180">
          <cell r="BI180">
            <v>0.11911852293031566</v>
          </cell>
        </row>
        <row r="181">
          <cell r="BI181">
            <v>1.81473385518591</v>
          </cell>
        </row>
        <row r="182">
          <cell r="BI182">
            <v>3.3158019925280198</v>
          </cell>
        </row>
        <row r="183">
          <cell r="BI183">
            <v>3.0107374166797878</v>
          </cell>
        </row>
        <row r="184">
          <cell r="BI184">
            <v>0.79195205479452047</v>
          </cell>
        </row>
        <row r="185">
          <cell r="BI185">
            <v>3.7094136986301369</v>
          </cell>
        </row>
        <row r="186">
          <cell r="BI186">
            <v>0.73059360730593603</v>
          </cell>
        </row>
        <row r="187">
          <cell r="BI187">
            <v>1.3860273972602739</v>
          </cell>
        </row>
        <row r="188">
          <cell r="BI188">
            <v>0.530265712201204</v>
          </cell>
        </row>
        <row r="190">
          <cell r="BI190">
            <v>0.86421650517875037</v>
          </cell>
        </row>
        <row r="193">
          <cell r="BI193">
            <v>0.13698630136986301</v>
          </cell>
        </row>
        <row r="196">
          <cell r="BI196">
            <v>0.74337899543378994</v>
          </cell>
        </row>
        <row r="197">
          <cell r="BI197">
            <v>1.2256669069935113</v>
          </cell>
        </row>
        <row r="198">
          <cell r="BI198">
            <v>1.3643835616438356</v>
          </cell>
        </row>
        <row r="199">
          <cell r="BI199">
            <v>3.5007610350076104</v>
          </cell>
        </row>
        <row r="200">
          <cell r="BI200">
            <v>0.73940136986301375</v>
          </cell>
        </row>
        <row r="201">
          <cell r="BI201">
            <v>0.59687671232876705</v>
          </cell>
        </row>
        <row r="202">
          <cell r="BI202">
            <v>0.89158512720156557</v>
          </cell>
        </row>
        <row r="204">
          <cell r="BI204">
            <v>2.4991066110780227</v>
          </cell>
        </row>
        <row r="205">
          <cell r="BI205">
            <v>0.59086757990867578</v>
          </cell>
        </row>
        <row r="207">
          <cell r="BI207">
            <v>5.0899344848123883E-2</v>
          </cell>
        </row>
        <row r="208">
          <cell r="BI208">
            <v>0.27397260273972601</v>
          </cell>
        </row>
        <row r="210">
          <cell r="BI210">
            <v>0.63224446786090616</v>
          </cell>
        </row>
        <row r="211">
          <cell r="BI211">
            <v>1.804851598173516</v>
          </cell>
        </row>
        <row r="212">
          <cell r="BI212">
            <v>0.54112026519767953</v>
          </cell>
        </row>
        <row r="213">
          <cell r="BI213">
            <v>0.20547945205479451</v>
          </cell>
        </row>
        <row r="214">
          <cell r="BI214">
            <v>4.2788074133763097</v>
          </cell>
        </row>
        <row r="215">
          <cell r="BI215">
            <v>0.34246575342465752</v>
          </cell>
        </row>
        <row r="216">
          <cell r="BI216">
            <v>0.78264480030870143</v>
          </cell>
        </row>
        <row r="217">
          <cell r="BI217">
            <v>0.51290219815227789</v>
          </cell>
        </row>
        <row r="218">
          <cell r="BI218">
            <v>2.0666666666666669</v>
          </cell>
        </row>
        <row r="219">
          <cell r="BI219">
            <v>1.9791333031388065</v>
          </cell>
        </row>
        <row r="220">
          <cell r="BI220">
            <v>0.60855126608551269</v>
          </cell>
        </row>
        <row r="221">
          <cell r="BI221">
            <v>5.031963470319635</v>
          </cell>
        </row>
        <row r="222">
          <cell r="BI222">
            <v>1.523972602739726</v>
          </cell>
        </row>
        <row r="223">
          <cell r="BI223">
            <v>0.30776255707762556</v>
          </cell>
        </row>
        <row r="224">
          <cell r="BI224">
            <v>2.9394683970199478</v>
          </cell>
        </row>
        <row r="225">
          <cell r="BI225">
            <v>3.3665753424657536</v>
          </cell>
        </row>
        <row r="226">
          <cell r="BI226">
            <v>2.4613474470734742</v>
          </cell>
        </row>
        <row r="227">
          <cell r="BI227">
            <v>3.1031963470319637</v>
          </cell>
        </row>
        <row r="229">
          <cell r="BI229">
            <v>1.7986896962477665</v>
          </cell>
        </row>
        <row r="230">
          <cell r="BI230">
            <v>1.8557077625570777</v>
          </cell>
        </row>
        <row r="231">
          <cell r="BI231">
            <v>0.10856104824300178</v>
          </cell>
        </row>
        <row r="232">
          <cell r="BI232">
            <v>0.77720593607305943</v>
          </cell>
        </row>
        <row r="233">
          <cell r="BI233">
            <v>3.5764315068493149</v>
          </cell>
        </row>
        <row r="234">
          <cell r="BI234">
            <v>0.1141041095890411</v>
          </cell>
        </row>
        <row r="235">
          <cell r="BI235">
            <v>1.3178082191780822</v>
          </cell>
        </row>
        <row r="236">
          <cell r="BI236">
            <v>0.14741673040817746</v>
          </cell>
        </row>
        <row r="237">
          <cell r="BI237">
            <v>3.8936986301369862</v>
          </cell>
        </row>
        <row r="240">
          <cell r="BI240">
            <v>3.8286431833007173</v>
          </cell>
        </row>
        <row r="241">
          <cell r="BI241">
            <v>1.6911889058007779</v>
          </cell>
        </row>
        <row r="243">
          <cell r="BI243">
            <v>1.1324200913242009</v>
          </cell>
        </row>
        <row r="244">
          <cell r="BI244">
            <v>0.41317760002302889</v>
          </cell>
        </row>
        <row r="246">
          <cell r="BI246">
            <v>2.7397260273972601</v>
          </cell>
        </row>
        <row r="247">
          <cell r="BI247">
            <v>1.6676593210244193</v>
          </cell>
        </row>
        <row r="248">
          <cell r="BI248">
            <v>0.84233111545988248</v>
          </cell>
        </row>
        <row r="249">
          <cell r="BI249">
            <v>0.92530669563604551</v>
          </cell>
        </row>
        <row r="250">
          <cell r="BI250">
            <v>0.71783633741888975</v>
          </cell>
        </row>
        <row r="251">
          <cell r="BI251">
            <v>0.15447391431069657</v>
          </cell>
        </row>
        <row r="252">
          <cell r="BI252">
            <v>0.98660767463626309</v>
          </cell>
        </row>
        <row r="253">
          <cell r="BI253">
            <v>4.5662100456620998</v>
          </cell>
        </row>
        <row r="254">
          <cell r="BI254">
            <v>0.57534246575342463</v>
          </cell>
        </row>
        <row r="256">
          <cell r="BI256">
            <v>0.96962477665276947</v>
          </cell>
        </row>
        <row r="259">
          <cell r="BI259">
            <v>0.7852575342465753</v>
          </cell>
        </row>
        <row r="261">
          <cell r="BI261">
            <v>1.6027397260273972</v>
          </cell>
        </row>
      </sheetData>
      <sheetData sheetId="10"/>
      <sheetData sheetId="11">
        <row r="12">
          <cell r="A12">
            <v>1</v>
          </cell>
        </row>
      </sheetData>
      <sheetData sheetId="12">
        <row r="5">
          <cell r="A5">
            <v>1</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Cover"/>
      <sheetName val="User Guide"/>
      <sheetName val="ULB target"/>
      <sheetName val="WS"/>
      <sheetName val="WW"/>
      <sheetName val="SWM"/>
      <sheetName val="Sheet2 (2)"/>
      <sheetName val="Sheet1"/>
      <sheetName val="Sheet1 (2)"/>
      <sheetName val="Guidelines"/>
    </sheetNames>
    <sheetDataSet>
      <sheetData sheetId="0"/>
      <sheetData sheetId="1"/>
      <sheetData sheetId="2">
        <row r="14">
          <cell r="C14">
            <v>4</v>
          </cell>
        </row>
        <row r="15">
          <cell r="C15" t="str">
            <v>Class C</v>
          </cell>
        </row>
      </sheetData>
      <sheetData sheetId="3"/>
      <sheetData sheetId="4"/>
      <sheetData sheetId="5"/>
      <sheetData sheetId="6">
        <row r="2">
          <cell r="A2" t="str">
            <v>Municipal Corporation</v>
          </cell>
          <cell r="B2" t="str">
            <v>Ahmedabad</v>
          </cell>
          <cell r="D2" t="str">
            <v>Municipal Corporation</v>
          </cell>
        </row>
        <row r="3">
          <cell r="A3" t="str">
            <v>Municipal Corporation</v>
          </cell>
          <cell r="B3" t="str">
            <v>Bhavnagar</v>
          </cell>
          <cell r="D3" t="str">
            <v>Class A</v>
          </cell>
        </row>
        <row r="4">
          <cell r="A4" t="str">
            <v>Municipal Corporation</v>
          </cell>
          <cell r="B4" t="str">
            <v>Gandhinagar</v>
          </cell>
          <cell r="D4" t="str">
            <v>Class B</v>
          </cell>
        </row>
        <row r="5">
          <cell r="A5" t="str">
            <v>Municipal Corporation</v>
          </cell>
          <cell r="B5" t="str">
            <v>Jamnagar</v>
          </cell>
          <cell r="D5" t="str">
            <v>Class C</v>
          </cell>
        </row>
        <row r="6">
          <cell r="A6" t="str">
            <v>Municipal Corporation</v>
          </cell>
          <cell r="B6" t="str">
            <v>Junagadh</v>
          </cell>
          <cell r="D6" t="str">
            <v>Class D</v>
          </cell>
        </row>
        <row r="7">
          <cell r="A7" t="str">
            <v>Municipal Corporation</v>
          </cell>
          <cell r="B7" t="str">
            <v>Rajkot</v>
          </cell>
        </row>
        <row r="8">
          <cell r="A8" t="str">
            <v>Municipal Corporation</v>
          </cell>
          <cell r="B8" t="str">
            <v>Surat</v>
          </cell>
        </row>
        <row r="9">
          <cell r="A9" t="str">
            <v>Municipal Corporation</v>
          </cell>
          <cell r="B9" t="str">
            <v>Vadodara</v>
          </cell>
        </row>
        <row r="10">
          <cell r="A10" t="str">
            <v>Class A</v>
          </cell>
          <cell r="B10" t="str">
            <v>Anand</v>
          </cell>
        </row>
        <row r="11">
          <cell r="A11" t="str">
            <v>Class A</v>
          </cell>
          <cell r="B11" t="str">
            <v>Bharuch</v>
          </cell>
        </row>
        <row r="12">
          <cell r="A12" t="str">
            <v>Class A</v>
          </cell>
          <cell r="B12" t="str">
            <v>Botad</v>
          </cell>
        </row>
        <row r="13">
          <cell r="A13" t="str">
            <v>Class A</v>
          </cell>
          <cell r="B13" t="str">
            <v>Gandhidham</v>
          </cell>
        </row>
        <row r="14">
          <cell r="A14" t="str">
            <v>Class A</v>
          </cell>
          <cell r="B14" t="str">
            <v>Godhara</v>
          </cell>
        </row>
        <row r="15">
          <cell r="A15" t="str">
            <v>Class A</v>
          </cell>
          <cell r="B15" t="str">
            <v>Jetpur</v>
          </cell>
        </row>
        <row r="16">
          <cell r="A16" t="str">
            <v>Class A</v>
          </cell>
          <cell r="B16" t="str">
            <v>Kalol</v>
          </cell>
        </row>
        <row r="17">
          <cell r="A17" t="str">
            <v>Class A</v>
          </cell>
          <cell r="B17" t="str">
            <v>Mehsana</v>
          </cell>
        </row>
        <row r="18">
          <cell r="A18" t="str">
            <v>Class A</v>
          </cell>
          <cell r="B18" t="str">
            <v>Morbi</v>
          </cell>
        </row>
        <row r="19">
          <cell r="A19" t="str">
            <v>Class A</v>
          </cell>
          <cell r="B19" t="str">
            <v>Nadiad</v>
          </cell>
        </row>
        <row r="20">
          <cell r="A20" t="str">
            <v>Class A</v>
          </cell>
          <cell r="B20" t="str">
            <v>Navsari</v>
          </cell>
        </row>
        <row r="21">
          <cell r="A21" t="str">
            <v>Class A</v>
          </cell>
          <cell r="B21" t="str">
            <v>Palanpur</v>
          </cell>
        </row>
        <row r="22">
          <cell r="A22" t="str">
            <v>Class A</v>
          </cell>
          <cell r="B22" t="str">
            <v>Patan</v>
          </cell>
        </row>
        <row r="23">
          <cell r="A23" t="str">
            <v>Class A</v>
          </cell>
          <cell r="B23" t="str">
            <v>Porbandar</v>
          </cell>
        </row>
        <row r="24">
          <cell r="A24" t="str">
            <v>Class A</v>
          </cell>
          <cell r="B24" t="str">
            <v>Surendranagar</v>
          </cell>
        </row>
        <row r="25">
          <cell r="A25" t="str">
            <v>Class A</v>
          </cell>
          <cell r="B25" t="str">
            <v>Valsad</v>
          </cell>
        </row>
        <row r="26">
          <cell r="A26" t="str">
            <v>Class A</v>
          </cell>
          <cell r="B26" t="str">
            <v>Vapi</v>
          </cell>
        </row>
        <row r="27">
          <cell r="A27" t="str">
            <v>Class A</v>
          </cell>
          <cell r="B27" t="str">
            <v>Veraval</v>
          </cell>
        </row>
        <row r="28">
          <cell r="A28" t="str">
            <v>Class B</v>
          </cell>
          <cell r="B28" t="str">
            <v>Amreli</v>
          </cell>
        </row>
        <row r="29">
          <cell r="A29" t="str">
            <v>Class B</v>
          </cell>
          <cell r="B29" t="str">
            <v>Anjar</v>
          </cell>
        </row>
        <row r="30">
          <cell r="A30" t="str">
            <v>Class B</v>
          </cell>
          <cell r="B30" t="str">
            <v>Ankleshwar</v>
          </cell>
        </row>
        <row r="31">
          <cell r="A31" t="str">
            <v>Class B</v>
          </cell>
          <cell r="B31" t="str">
            <v>Bardoli</v>
          </cell>
        </row>
        <row r="32">
          <cell r="A32" t="str">
            <v>Class B</v>
          </cell>
          <cell r="B32" t="str">
            <v>Bhuj</v>
          </cell>
        </row>
        <row r="33">
          <cell r="A33" t="str">
            <v>Class B</v>
          </cell>
          <cell r="B33" t="str">
            <v>Bilimora</v>
          </cell>
        </row>
        <row r="34">
          <cell r="A34" t="str">
            <v>Class B</v>
          </cell>
          <cell r="B34" t="str">
            <v>Borsad</v>
          </cell>
        </row>
        <row r="35">
          <cell r="A35" t="str">
            <v>Class B</v>
          </cell>
          <cell r="B35" t="str">
            <v>Dabhoi</v>
          </cell>
        </row>
        <row r="36">
          <cell r="A36" t="str">
            <v>Class B</v>
          </cell>
          <cell r="B36" t="str">
            <v>Dahod</v>
          </cell>
        </row>
        <row r="37">
          <cell r="A37" t="str">
            <v>Class B</v>
          </cell>
          <cell r="B37" t="str">
            <v>Deesa</v>
          </cell>
        </row>
        <row r="38">
          <cell r="A38" t="str">
            <v>Class B</v>
          </cell>
          <cell r="B38" t="str">
            <v>Dholka</v>
          </cell>
        </row>
        <row r="39">
          <cell r="A39" t="str">
            <v>Class B</v>
          </cell>
          <cell r="B39" t="str">
            <v>Dhoraji</v>
          </cell>
        </row>
        <row r="40">
          <cell r="A40" t="str">
            <v>Class B</v>
          </cell>
          <cell r="B40" t="str">
            <v>Dhrangadhra</v>
          </cell>
        </row>
        <row r="41">
          <cell r="A41" t="str">
            <v>Class B</v>
          </cell>
          <cell r="B41" t="str">
            <v>Gondal</v>
          </cell>
        </row>
        <row r="42">
          <cell r="A42" t="str">
            <v>Class B</v>
          </cell>
          <cell r="B42" t="str">
            <v>Himmatnagar</v>
          </cell>
        </row>
        <row r="43">
          <cell r="A43" t="str">
            <v>Class B</v>
          </cell>
          <cell r="B43" t="str">
            <v>Kadi</v>
          </cell>
        </row>
        <row r="44">
          <cell r="A44" t="str">
            <v>Class B</v>
          </cell>
          <cell r="B44" t="str">
            <v>Keshod</v>
          </cell>
        </row>
        <row r="45">
          <cell r="A45" t="str">
            <v>Class B</v>
          </cell>
          <cell r="B45" t="str">
            <v>Khambhat</v>
          </cell>
        </row>
        <row r="46">
          <cell r="A46" t="str">
            <v>Class B</v>
          </cell>
          <cell r="B46" t="str">
            <v>Mahuva</v>
          </cell>
        </row>
        <row r="47">
          <cell r="A47" t="str">
            <v>Class B</v>
          </cell>
          <cell r="B47" t="str">
            <v>Mangrol</v>
          </cell>
        </row>
        <row r="48">
          <cell r="A48" t="str">
            <v>Class B</v>
          </cell>
          <cell r="B48" t="str">
            <v>Modasa</v>
          </cell>
        </row>
        <row r="49">
          <cell r="A49" t="str">
            <v>Class B</v>
          </cell>
          <cell r="B49" t="str">
            <v>Okha</v>
          </cell>
        </row>
        <row r="50">
          <cell r="A50" t="str">
            <v>Class B</v>
          </cell>
          <cell r="B50" t="str">
            <v>Palitana</v>
          </cell>
        </row>
        <row r="51">
          <cell r="A51" t="str">
            <v>Class B</v>
          </cell>
          <cell r="B51" t="str">
            <v>Petlad</v>
          </cell>
        </row>
        <row r="52">
          <cell r="A52" t="str">
            <v>Class B</v>
          </cell>
          <cell r="B52" t="str">
            <v>Savarkundla</v>
          </cell>
        </row>
        <row r="53">
          <cell r="A53" t="str">
            <v>Class B</v>
          </cell>
          <cell r="B53" t="str">
            <v>Siddhpur</v>
          </cell>
        </row>
        <row r="54">
          <cell r="A54" t="str">
            <v>Class B</v>
          </cell>
          <cell r="B54" t="str">
            <v>Una</v>
          </cell>
        </row>
        <row r="55">
          <cell r="A55" t="str">
            <v>Class B</v>
          </cell>
          <cell r="B55" t="str">
            <v>Unjha</v>
          </cell>
        </row>
        <row r="56">
          <cell r="A56" t="str">
            <v>Class B</v>
          </cell>
          <cell r="B56" t="str">
            <v>Upleta</v>
          </cell>
        </row>
        <row r="57">
          <cell r="A57" t="str">
            <v>Class B</v>
          </cell>
          <cell r="B57" t="str">
            <v>Vadhvan</v>
          </cell>
        </row>
        <row r="58">
          <cell r="A58" t="str">
            <v>Class B</v>
          </cell>
          <cell r="B58" t="str">
            <v>Vijalpore</v>
          </cell>
        </row>
        <row r="59">
          <cell r="A59" t="str">
            <v>Class B</v>
          </cell>
          <cell r="B59" t="str">
            <v>Viramgam</v>
          </cell>
        </row>
        <row r="60">
          <cell r="A60" t="str">
            <v>Class B</v>
          </cell>
          <cell r="B60" t="str">
            <v>Visnagar</v>
          </cell>
        </row>
        <row r="61">
          <cell r="A61" t="str">
            <v>Class C</v>
          </cell>
          <cell r="B61" t="str">
            <v>Bagasra</v>
          </cell>
        </row>
        <row r="62">
          <cell r="A62" t="str">
            <v>Class C</v>
          </cell>
          <cell r="B62" t="str">
            <v>Balasinor</v>
          </cell>
        </row>
        <row r="63">
          <cell r="A63" t="str">
            <v>Class C</v>
          </cell>
          <cell r="B63" t="str">
            <v>Bavla</v>
          </cell>
        </row>
        <row r="64">
          <cell r="A64" t="str">
            <v>Class C</v>
          </cell>
          <cell r="B64" t="str">
            <v>Bhachau</v>
          </cell>
        </row>
        <row r="65">
          <cell r="A65" t="str">
            <v>Class C</v>
          </cell>
          <cell r="B65" t="str">
            <v>Chaklasi</v>
          </cell>
        </row>
        <row r="66">
          <cell r="A66" t="str">
            <v>Class C</v>
          </cell>
          <cell r="B66" t="str">
            <v>Chhaya</v>
          </cell>
        </row>
        <row r="67">
          <cell r="A67" t="str">
            <v>Class C</v>
          </cell>
          <cell r="B67" t="str">
            <v>Dehgam</v>
          </cell>
        </row>
        <row r="68">
          <cell r="A68" t="str">
            <v>Class C</v>
          </cell>
          <cell r="B68" t="str">
            <v>Dhandhuka</v>
          </cell>
        </row>
        <row r="69">
          <cell r="A69" t="str">
            <v>Class C</v>
          </cell>
          <cell r="B69" t="str">
            <v>Dwarka</v>
          </cell>
        </row>
        <row r="70">
          <cell r="A70" t="str">
            <v>Class C</v>
          </cell>
          <cell r="B70" t="str">
            <v>Gadhda</v>
          </cell>
        </row>
        <row r="71">
          <cell r="A71" t="str">
            <v>Class C</v>
          </cell>
          <cell r="B71" t="str">
            <v>Gariyadhar</v>
          </cell>
        </row>
        <row r="72">
          <cell r="A72" t="str">
            <v>Class C</v>
          </cell>
          <cell r="B72" t="str">
            <v>Halol</v>
          </cell>
        </row>
        <row r="73">
          <cell r="A73" t="str">
            <v>Class C</v>
          </cell>
          <cell r="B73" t="str">
            <v>Idar</v>
          </cell>
        </row>
        <row r="74">
          <cell r="A74" t="str">
            <v>Class C</v>
          </cell>
          <cell r="B74" t="str">
            <v>Jafrabad</v>
          </cell>
        </row>
        <row r="75">
          <cell r="A75" t="str">
            <v>Class C</v>
          </cell>
          <cell r="B75" t="str">
            <v>Jambusar</v>
          </cell>
        </row>
        <row r="76">
          <cell r="A76" t="str">
            <v>Class C</v>
          </cell>
          <cell r="B76" t="str">
            <v>Jasdan</v>
          </cell>
        </row>
        <row r="77">
          <cell r="A77" t="str">
            <v>Class C</v>
          </cell>
          <cell r="B77" t="str">
            <v>Jhalod</v>
          </cell>
        </row>
        <row r="78">
          <cell r="A78" t="str">
            <v>Class C</v>
          </cell>
          <cell r="B78" t="str">
            <v>Kapadvanj</v>
          </cell>
        </row>
        <row r="79">
          <cell r="A79" t="str">
            <v>Class C</v>
          </cell>
          <cell r="B79" t="str">
            <v>Karamsad</v>
          </cell>
        </row>
        <row r="80">
          <cell r="A80" t="str">
            <v>Class C</v>
          </cell>
          <cell r="B80" t="str">
            <v>Karjan</v>
          </cell>
        </row>
        <row r="81">
          <cell r="A81" t="str">
            <v>Class C</v>
          </cell>
          <cell r="B81" t="str">
            <v>Khambhaliya</v>
          </cell>
        </row>
        <row r="82">
          <cell r="A82" t="str">
            <v>Class C</v>
          </cell>
          <cell r="B82" t="str">
            <v>Khed Brahma</v>
          </cell>
        </row>
        <row r="83">
          <cell r="A83" t="str">
            <v>Class C</v>
          </cell>
          <cell r="B83" t="str">
            <v>Kodinar</v>
          </cell>
        </row>
        <row r="84">
          <cell r="A84" t="str">
            <v>Class C</v>
          </cell>
          <cell r="B84" t="str">
            <v>Limbdi</v>
          </cell>
        </row>
        <row r="85">
          <cell r="A85" t="str">
            <v>Class C</v>
          </cell>
          <cell r="B85" t="str">
            <v>Lunavada</v>
          </cell>
        </row>
        <row r="86">
          <cell r="A86" t="str">
            <v>Class C</v>
          </cell>
          <cell r="B86" t="str">
            <v>Manavadar</v>
          </cell>
        </row>
        <row r="87">
          <cell r="A87" t="str">
            <v>Class C</v>
          </cell>
          <cell r="B87" t="str">
            <v>Mandavi</v>
          </cell>
        </row>
        <row r="88">
          <cell r="A88" t="str">
            <v>Class C</v>
          </cell>
          <cell r="B88" t="str">
            <v>Mansa</v>
          </cell>
        </row>
        <row r="89">
          <cell r="A89" t="str">
            <v>Class C</v>
          </cell>
          <cell r="B89" t="str">
            <v>Mehmadabad</v>
          </cell>
        </row>
        <row r="90">
          <cell r="A90" t="str">
            <v>Class C</v>
          </cell>
          <cell r="B90" t="str">
            <v>Padra</v>
          </cell>
        </row>
        <row r="91">
          <cell r="A91" t="str">
            <v>Class C</v>
          </cell>
          <cell r="B91" t="str">
            <v>Pardi</v>
          </cell>
        </row>
        <row r="92">
          <cell r="A92" t="str">
            <v>Class C</v>
          </cell>
          <cell r="B92" t="str">
            <v>Radhanpur</v>
          </cell>
        </row>
        <row r="93">
          <cell r="A93" t="str">
            <v>Class C</v>
          </cell>
          <cell r="B93" t="str">
            <v>Rajpipla</v>
          </cell>
        </row>
        <row r="94">
          <cell r="A94" t="str">
            <v>Class C</v>
          </cell>
          <cell r="B94" t="str">
            <v>Rajula</v>
          </cell>
        </row>
        <row r="95">
          <cell r="A95" t="str">
            <v>Class C</v>
          </cell>
          <cell r="B95" t="str">
            <v>Ranavav</v>
          </cell>
        </row>
        <row r="96">
          <cell r="A96" t="str">
            <v>Class C</v>
          </cell>
          <cell r="B96" t="str">
            <v>Salaya</v>
          </cell>
        </row>
        <row r="97">
          <cell r="A97" t="str">
            <v>Class C</v>
          </cell>
          <cell r="B97" t="str">
            <v>Sanand</v>
          </cell>
        </row>
        <row r="98">
          <cell r="A98" t="str">
            <v>Class C</v>
          </cell>
          <cell r="B98" t="str">
            <v>Sihor</v>
          </cell>
        </row>
        <row r="99">
          <cell r="A99" t="str">
            <v>Class C</v>
          </cell>
          <cell r="B99" t="str">
            <v>Talaja</v>
          </cell>
        </row>
        <row r="100">
          <cell r="A100" t="str">
            <v>Class C</v>
          </cell>
          <cell r="B100" t="str">
            <v>Thangadh</v>
          </cell>
        </row>
        <row r="101">
          <cell r="A101" t="str">
            <v>Class C</v>
          </cell>
          <cell r="B101" t="str">
            <v>Umreth</v>
          </cell>
        </row>
        <row r="102">
          <cell r="A102" t="str">
            <v>Class C</v>
          </cell>
          <cell r="B102" t="str">
            <v>V.Vidyanagar</v>
          </cell>
        </row>
        <row r="103">
          <cell r="A103" t="str">
            <v>Class C</v>
          </cell>
          <cell r="B103" t="str">
            <v>Vadnagar</v>
          </cell>
        </row>
        <row r="104">
          <cell r="A104" t="str">
            <v>Class C</v>
          </cell>
          <cell r="B104" t="str">
            <v>Vyara</v>
          </cell>
        </row>
        <row r="105">
          <cell r="A105" t="str">
            <v>Class C</v>
          </cell>
          <cell r="B105" t="str">
            <v>Wankaner</v>
          </cell>
        </row>
        <row r="106">
          <cell r="A106" t="str">
            <v>Class D</v>
          </cell>
          <cell r="B106" t="str">
            <v>Amod</v>
          </cell>
        </row>
        <row r="107">
          <cell r="A107" t="str">
            <v>Class D</v>
          </cell>
          <cell r="B107" t="str">
            <v>Anklav</v>
          </cell>
        </row>
        <row r="108">
          <cell r="A108" t="str">
            <v>Class D</v>
          </cell>
          <cell r="B108" t="str">
            <v>Babra</v>
          </cell>
        </row>
        <row r="109">
          <cell r="A109" t="str">
            <v>Class D</v>
          </cell>
          <cell r="B109" t="str">
            <v>Bantawa</v>
          </cell>
        </row>
        <row r="110">
          <cell r="A110" t="str">
            <v>Class D</v>
          </cell>
          <cell r="B110" t="str">
            <v>Baravala</v>
          </cell>
        </row>
        <row r="111">
          <cell r="A111" t="str">
            <v>Class D</v>
          </cell>
          <cell r="B111" t="str">
            <v>Bareja</v>
          </cell>
        </row>
        <row r="112">
          <cell r="A112" t="str">
            <v>Class D</v>
          </cell>
          <cell r="B112" t="str">
            <v>Bayad</v>
          </cell>
        </row>
        <row r="113">
          <cell r="A113" t="str">
            <v>Class D</v>
          </cell>
          <cell r="B113" t="str">
            <v>Bhabhar</v>
          </cell>
        </row>
        <row r="114">
          <cell r="A114" t="str">
            <v>Class D</v>
          </cell>
          <cell r="B114" t="str">
            <v>Bhanvad</v>
          </cell>
        </row>
        <row r="115">
          <cell r="A115" t="str">
            <v>Class D</v>
          </cell>
          <cell r="B115" t="str">
            <v>Bhayvadar</v>
          </cell>
        </row>
        <row r="116">
          <cell r="A116" t="str">
            <v>Class D</v>
          </cell>
          <cell r="B116" t="str">
            <v>Boriyavi</v>
          </cell>
        </row>
        <row r="117">
          <cell r="A117" t="str">
            <v>Class D</v>
          </cell>
          <cell r="B117" t="str">
            <v>Chalal</v>
          </cell>
        </row>
        <row r="118">
          <cell r="A118" t="str">
            <v>Class D</v>
          </cell>
          <cell r="B118" t="str">
            <v>Chanasma</v>
          </cell>
        </row>
        <row r="119">
          <cell r="A119" t="str">
            <v>Class D</v>
          </cell>
          <cell r="B119" t="str">
            <v>ChhotaUdaipur</v>
          </cell>
        </row>
        <row r="120">
          <cell r="A120" t="str">
            <v>Class D</v>
          </cell>
          <cell r="B120" t="str">
            <v>Chorvad</v>
          </cell>
        </row>
        <row r="121">
          <cell r="A121" t="str">
            <v>Class D</v>
          </cell>
          <cell r="B121" t="str">
            <v>Chotila</v>
          </cell>
        </row>
        <row r="122">
          <cell r="A122" t="str">
            <v>Class D</v>
          </cell>
          <cell r="B122" t="str">
            <v>Dakor</v>
          </cell>
        </row>
        <row r="123">
          <cell r="A123" t="str">
            <v>Class D</v>
          </cell>
          <cell r="B123" t="str">
            <v>Damnagar</v>
          </cell>
        </row>
        <row r="124">
          <cell r="A124" t="str">
            <v>Class D</v>
          </cell>
          <cell r="B124" t="str">
            <v>DevagadhBariya</v>
          </cell>
        </row>
        <row r="125">
          <cell r="A125" t="str">
            <v>Class D</v>
          </cell>
          <cell r="B125" t="str">
            <v>Dhanera</v>
          </cell>
        </row>
        <row r="126">
          <cell r="A126" t="str">
            <v>Class D</v>
          </cell>
          <cell r="B126" t="str">
            <v>Dharampur</v>
          </cell>
        </row>
        <row r="127">
          <cell r="A127" t="str">
            <v>Class D</v>
          </cell>
          <cell r="B127" t="str">
            <v>Dhrol</v>
          </cell>
        </row>
        <row r="128">
          <cell r="A128" t="str">
            <v>Class D</v>
          </cell>
          <cell r="B128" t="str">
            <v>Gandevi</v>
          </cell>
        </row>
        <row r="129">
          <cell r="A129" t="str">
            <v>Class D</v>
          </cell>
          <cell r="B129" t="str">
            <v>Halvad</v>
          </cell>
        </row>
        <row r="130">
          <cell r="A130" t="str">
            <v>Class D</v>
          </cell>
          <cell r="B130" t="str">
            <v>Harij</v>
          </cell>
        </row>
        <row r="131">
          <cell r="A131" t="str">
            <v>Class D</v>
          </cell>
          <cell r="B131" t="str">
            <v>Jamjodhpur</v>
          </cell>
        </row>
        <row r="132">
          <cell r="A132" t="str">
            <v>Class D</v>
          </cell>
          <cell r="B132" t="str">
            <v>Jamrawal</v>
          </cell>
        </row>
        <row r="133">
          <cell r="A133" t="str">
            <v>Class D</v>
          </cell>
          <cell r="B133" t="str">
            <v>Kaalol</v>
          </cell>
        </row>
        <row r="134">
          <cell r="A134" t="str">
            <v>Class D</v>
          </cell>
          <cell r="B134" t="str">
            <v>Kalavad</v>
          </cell>
        </row>
        <row r="135">
          <cell r="A135" t="str">
            <v>Class D</v>
          </cell>
          <cell r="B135" t="str">
            <v>Kanjari</v>
          </cell>
        </row>
        <row r="136">
          <cell r="A136" t="str">
            <v>Class D</v>
          </cell>
          <cell r="B136" t="str">
            <v>Kansad</v>
          </cell>
        </row>
        <row r="137">
          <cell r="A137" t="str">
            <v>Class D</v>
          </cell>
          <cell r="B137" t="str">
            <v>Kathlal</v>
          </cell>
        </row>
        <row r="138">
          <cell r="A138" t="str">
            <v>Class D</v>
          </cell>
          <cell r="B138" t="str">
            <v>Kheda</v>
          </cell>
        </row>
        <row r="139">
          <cell r="A139" t="str">
            <v>Class D</v>
          </cell>
          <cell r="B139" t="str">
            <v>Kheralu</v>
          </cell>
        </row>
        <row r="140">
          <cell r="A140" t="str">
            <v>Class D</v>
          </cell>
          <cell r="B140" t="str">
            <v>Kutiyana</v>
          </cell>
        </row>
        <row r="141">
          <cell r="A141" t="str">
            <v>Class D</v>
          </cell>
          <cell r="B141" t="str">
            <v>Lathi</v>
          </cell>
        </row>
        <row r="142">
          <cell r="A142" t="str">
            <v>Class D</v>
          </cell>
          <cell r="B142" t="str">
            <v>Mahudha</v>
          </cell>
        </row>
        <row r="143">
          <cell r="A143" t="str">
            <v>Class D</v>
          </cell>
          <cell r="B143" t="str">
            <v>Maliyamiyana</v>
          </cell>
        </row>
        <row r="144">
          <cell r="A144" t="str">
            <v>Class D</v>
          </cell>
          <cell r="B144" t="str">
            <v>MandaviSurat</v>
          </cell>
        </row>
        <row r="145">
          <cell r="A145" t="str">
            <v>Class D</v>
          </cell>
          <cell r="B145" t="str">
            <v>Oad</v>
          </cell>
        </row>
        <row r="146">
          <cell r="A146" t="str">
            <v>Class D</v>
          </cell>
          <cell r="B146" t="str">
            <v>Patdi</v>
          </cell>
        </row>
        <row r="147">
          <cell r="A147" t="str">
            <v>Class D</v>
          </cell>
          <cell r="B147" t="str">
            <v>Pethapur</v>
          </cell>
        </row>
        <row r="148">
          <cell r="A148" t="str">
            <v>Class D</v>
          </cell>
          <cell r="B148" t="str">
            <v>Prantij</v>
          </cell>
        </row>
        <row r="149">
          <cell r="A149" t="str">
            <v>Class D</v>
          </cell>
          <cell r="B149" t="str">
            <v>Rapar</v>
          </cell>
        </row>
        <row r="150">
          <cell r="A150" t="str">
            <v>Class D</v>
          </cell>
          <cell r="B150" t="str">
            <v>Santrampur</v>
          </cell>
        </row>
        <row r="151">
          <cell r="A151" t="str">
            <v>Class D</v>
          </cell>
          <cell r="B151" t="str">
            <v>Savri</v>
          </cell>
        </row>
        <row r="152">
          <cell r="A152" t="str">
            <v>Class D</v>
          </cell>
          <cell r="B152" t="str">
            <v>Shahera</v>
          </cell>
        </row>
        <row r="153">
          <cell r="A153" t="str">
            <v>Class D</v>
          </cell>
          <cell r="B153" t="str">
            <v>Sikka</v>
          </cell>
        </row>
        <row r="154">
          <cell r="A154" t="str">
            <v>Class D</v>
          </cell>
          <cell r="B154" t="str">
            <v>Sojitra</v>
          </cell>
        </row>
        <row r="155">
          <cell r="A155" t="str">
            <v>Class D</v>
          </cell>
          <cell r="B155" t="str">
            <v>Songadh</v>
          </cell>
        </row>
        <row r="156">
          <cell r="A156" t="str">
            <v>Class D</v>
          </cell>
          <cell r="B156" t="str">
            <v>Sutrapada</v>
          </cell>
        </row>
        <row r="157">
          <cell r="A157" t="str">
            <v>Class D</v>
          </cell>
          <cell r="B157" t="str">
            <v>Talala</v>
          </cell>
        </row>
        <row r="158">
          <cell r="A158" t="str">
            <v>Class D</v>
          </cell>
          <cell r="B158" t="str">
            <v>Talod</v>
          </cell>
        </row>
        <row r="159">
          <cell r="A159" t="str">
            <v>Class D</v>
          </cell>
          <cell r="B159" t="str">
            <v>Tarsadi</v>
          </cell>
        </row>
        <row r="160">
          <cell r="A160" t="str">
            <v>Class D</v>
          </cell>
          <cell r="B160" t="str">
            <v>Thara</v>
          </cell>
        </row>
        <row r="161">
          <cell r="A161" t="str">
            <v>Class D</v>
          </cell>
          <cell r="B161" t="str">
            <v>Tharad</v>
          </cell>
        </row>
        <row r="162">
          <cell r="A162" t="str">
            <v>Class D</v>
          </cell>
          <cell r="B162" t="str">
            <v>Thasra</v>
          </cell>
        </row>
        <row r="163">
          <cell r="A163" t="str">
            <v>Class D</v>
          </cell>
          <cell r="B163" t="str">
            <v>Umargam</v>
          </cell>
        </row>
        <row r="164">
          <cell r="A164" t="str">
            <v>Class D</v>
          </cell>
          <cell r="B164" t="str">
            <v>Vadali</v>
          </cell>
        </row>
        <row r="165">
          <cell r="A165" t="str">
            <v>Class D</v>
          </cell>
          <cell r="B165" t="str">
            <v>Vallabhipur</v>
          </cell>
        </row>
        <row r="166">
          <cell r="A166" t="str">
            <v>Class D</v>
          </cell>
          <cell r="B166" t="str">
            <v>Vanthali</v>
          </cell>
        </row>
        <row r="167">
          <cell r="A167" t="str">
            <v>Class D</v>
          </cell>
          <cell r="B167" t="str">
            <v>Vijapur</v>
          </cell>
        </row>
      </sheetData>
      <sheetData sheetId="7"/>
      <sheetData sheetId="8"/>
      <sheetData sheetId="9"/>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Reliability"/>
    </sheetNames>
    <sheetDataSet>
      <sheetData sheetId="0"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General Info"/>
      <sheetName val="water"/>
      <sheetName val="sewerage"/>
      <sheetName val="swm"/>
      <sheetName val="Equity Related Information"/>
      <sheetName val="Reliability"/>
      <sheetName val="List of documents to collect"/>
    </sheetNames>
    <sheetDataSet>
      <sheetData sheetId="0">
        <row r="4">
          <cell r="D4" t="str">
            <v>FY 2008-2009</v>
          </cell>
          <cell r="E4" t="str">
            <v>FY 2009-2010</v>
          </cell>
          <cell r="F4" t="str">
            <v>FY 2010-2011</v>
          </cell>
          <cell r="G4" t="str">
            <v>FY 2011-2012</v>
          </cell>
          <cell r="H4" t="str">
            <v>FY 2012-2013</v>
          </cell>
        </row>
        <row r="14">
          <cell r="D14">
            <v>2500</v>
          </cell>
          <cell r="E14">
            <v>9</v>
          </cell>
          <cell r="F14">
            <v>8</v>
          </cell>
          <cell r="G14">
            <v>8</v>
          </cell>
          <cell r="H14">
            <v>8</v>
          </cell>
        </row>
        <row r="16">
          <cell r="D16">
            <v>2500</v>
          </cell>
          <cell r="E16">
            <v>1604</v>
          </cell>
          <cell r="F16">
            <v>1571</v>
          </cell>
          <cell r="G16">
            <v>1571</v>
          </cell>
          <cell r="H16">
            <v>1608</v>
          </cell>
        </row>
      </sheetData>
      <sheetData sheetId="1">
        <row r="42">
          <cell r="D42">
            <v>6.86</v>
          </cell>
        </row>
      </sheetData>
      <sheetData sheetId="2">
        <row r="111">
          <cell r="E111">
            <v>250</v>
          </cell>
          <cell r="F111">
            <v>250</v>
          </cell>
          <cell r="G111">
            <v>250</v>
          </cell>
          <cell r="H111">
            <v>250</v>
          </cell>
        </row>
        <row r="112">
          <cell r="E112">
            <v>250</v>
          </cell>
          <cell r="F112">
            <v>250</v>
          </cell>
          <cell r="G112">
            <v>250</v>
          </cell>
          <cell r="H112">
            <v>250</v>
          </cell>
        </row>
      </sheetData>
      <sheetData sheetId="3" refreshError="1"/>
      <sheetData sheetId="4">
        <row r="95">
          <cell r="E95" t="str">
            <v>ND</v>
          </cell>
        </row>
      </sheetData>
      <sheetData sheetId="5">
        <row r="14">
          <cell r="D14" t="str">
            <v xml:space="preserve"> </v>
          </cell>
        </row>
        <row r="46">
          <cell r="D46" t="str">
            <v>Y</v>
          </cell>
          <cell r="E46" t="str">
            <v>Y</v>
          </cell>
          <cell r="F46" t="str">
            <v xml:space="preserve"> </v>
          </cell>
          <cell r="G46" t="str">
            <v>Y</v>
          </cell>
        </row>
        <row r="47">
          <cell r="D47" t="str">
            <v xml:space="preserve"> </v>
          </cell>
          <cell r="E47" t="str">
            <v xml:space="preserve"> </v>
          </cell>
          <cell r="F47" t="str">
            <v xml:space="preserve"> </v>
          </cell>
          <cell r="G47" t="str">
            <v>Y</v>
          </cell>
        </row>
        <row r="48">
          <cell r="D48" t="str">
            <v>Y</v>
          </cell>
          <cell r="E48" t="str">
            <v>Y</v>
          </cell>
          <cell r="F48" t="str">
            <v xml:space="preserve"> </v>
          </cell>
          <cell r="G48" t="str">
            <v>N</v>
          </cell>
        </row>
        <row r="49">
          <cell r="D49" t="str">
            <v xml:space="preserve"> </v>
          </cell>
          <cell r="E49" t="str">
            <v xml:space="preserve"> </v>
          </cell>
          <cell r="F49" t="str">
            <v xml:space="preserve"> </v>
          </cell>
          <cell r="G49" t="str">
            <v>N</v>
          </cell>
        </row>
        <row r="51">
          <cell r="D51" t="str">
            <v xml:space="preserve"> </v>
          </cell>
          <cell r="E51" t="str">
            <v xml:space="preserve"> </v>
          </cell>
          <cell r="F51" t="str">
            <v xml:space="preserve"> </v>
          </cell>
          <cell r="G51" t="str">
            <v xml:space="preserve"> </v>
          </cell>
        </row>
        <row r="52">
          <cell r="D52" t="str">
            <v>Y</v>
          </cell>
          <cell r="E52" t="str">
            <v>Y</v>
          </cell>
          <cell r="F52" t="str">
            <v xml:space="preserve"> </v>
          </cell>
          <cell r="G52" t="str">
            <v>Y</v>
          </cell>
        </row>
        <row r="53">
          <cell r="D53" t="str">
            <v xml:space="preserve"> </v>
          </cell>
          <cell r="E53" t="str">
            <v xml:space="preserve"> </v>
          </cell>
          <cell r="F53" t="str">
            <v xml:space="preserve"> </v>
          </cell>
          <cell r="G53" t="str">
            <v xml:space="preserve"> </v>
          </cell>
        </row>
        <row r="54">
          <cell r="D54" t="str">
            <v>Y</v>
          </cell>
          <cell r="E54" t="str">
            <v>Y</v>
          </cell>
          <cell r="F54" t="str">
            <v xml:space="preserve"> </v>
          </cell>
          <cell r="G54" t="str">
            <v>Y</v>
          </cell>
        </row>
        <row r="55">
          <cell r="D55" t="str">
            <v xml:space="preserve"> </v>
          </cell>
          <cell r="E55" t="str">
            <v xml:space="preserve"> </v>
          </cell>
          <cell r="F55" t="str">
            <v>Y</v>
          </cell>
          <cell r="G55" t="str">
            <v xml:space="preserve"> </v>
          </cell>
        </row>
        <row r="56">
          <cell r="D56" t="str">
            <v>Y</v>
          </cell>
          <cell r="E56" t="str">
            <v>Y</v>
          </cell>
          <cell r="F56" t="str">
            <v xml:space="preserve"> </v>
          </cell>
          <cell r="G56" t="str">
            <v xml:space="preserve"> </v>
          </cell>
        </row>
        <row r="57">
          <cell r="D57" t="str">
            <v xml:space="preserve"> </v>
          </cell>
          <cell r="E57" t="str">
            <v xml:space="preserve"> </v>
          </cell>
          <cell r="F57" t="str">
            <v xml:space="preserve"> </v>
          </cell>
          <cell r="G57" t="str">
            <v xml:space="preserve"> </v>
          </cell>
        </row>
        <row r="58">
          <cell r="D58" t="str">
            <v>Y</v>
          </cell>
          <cell r="E58" t="str">
            <v>Y</v>
          </cell>
          <cell r="F58" t="str">
            <v xml:space="preserve"> </v>
          </cell>
          <cell r="G58" t="str">
            <v>Y</v>
          </cell>
        </row>
      </sheetData>
      <sheetData sheetId="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dimension ref="B2:J44"/>
  <sheetViews>
    <sheetView tabSelected="1" topLeftCell="A13" workbookViewId="0">
      <selection activeCell="L15" sqref="L15"/>
    </sheetView>
  </sheetViews>
  <sheetFormatPr defaultRowHeight="15"/>
  <cols>
    <col min="1" max="1" width="4.85546875" style="751" customWidth="1"/>
    <col min="2" max="16384" width="9.140625" style="751"/>
  </cols>
  <sheetData>
    <row r="2" spans="2:10" ht="15.75">
      <c r="B2" s="748"/>
      <c r="C2" s="749"/>
      <c r="D2" s="749"/>
      <c r="E2" s="749"/>
      <c r="F2" s="749"/>
      <c r="G2" s="749"/>
      <c r="H2" s="749"/>
      <c r="I2" s="749"/>
      <c r="J2" s="750"/>
    </row>
    <row r="3" spans="2:10" ht="15.75">
      <c r="B3" s="752"/>
      <c r="C3" s="753"/>
      <c r="D3" s="753"/>
      <c r="E3" s="753"/>
      <c r="F3" s="753"/>
      <c r="G3" s="753"/>
      <c r="H3" s="753"/>
      <c r="I3" s="753"/>
      <c r="J3" s="754"/>
    </row>
    <row r="4" spans="2:10" ht="15.75">
      <c r="B4" s="752"/>
      <c r="C4" s="753"/>
      <c r="D4" s="753"/>
      <c r="E4" s="753"/>
      <c r="F4" s="753"/>
      <c r="G4" s="753"/>
      <c r="H4" s="753"/>
      <c r="I4" s="753"/>
      <c r="J4" s="754"/>
    </row>
    <row r="5" spans="2:10" ht="16.5">
      <c r="B5" s="752"/>
      <c r="C5" s="755"/>
      <c r="D5" s="755"/>
      <c r="E5" s="755"/>
      <c r="F5" s="755"/>
      <c r="G5" s="755"/>
      <c r="H5" s="755"/>
      <c r="I5" s="755"/>
      <c r="J5" s="754"/>
    </row>
    <row r="6" spans="2:10">
      <c r="B6" s="764" t="s">
        <v>987</v>
      </c>
      <c r="C6" s="765"/>
      <c r="D6" s="765"/>
      <c r="E6" s="765"/>
      <c r="F6" s="765"/>
      <c r="G6" s="765"/>
      <c r="H6" s="765"/>
      <c r="I6" s="765"/>
      <c r="J6" s="766"/>
    </row>
    <row r="7" spans="2:10">
      <c r="B7" s="764"/>
      <c r="C7" s="765"/>
      <c r="D7" s="765"/>
      <c r="E7" s="765"/>
      <c r="F7" s="765"/>
      <c r="G7" s="765"/>
      <c r="H7" s="765"/>
      <c r="I7" s="765"/>
      <c r="J7" s="766"/>
    </row>
    <row r="8" spans="2:10" ht="34.5" customHeight="1">
      <c r="B8" s="764"/>
      <c r="C8" s="765"/>
      <c r="D8" s="765"/>
      <c r="E8" s="765"/>
      <c r="F8" s="765"/>
      <c r="G8" s="765"/>
      <c r="H8" s="765"/>
      <c r="I8" s="765"/>
      <c r="J8" s="766"/>
    </row>
    <row r="9" spans="2:10" ht="15.75">
      <c r="B9" s="752"/>
      <c r="C9" s="753"/>
      <c r="D9" s="753"/>
      <c r="E9" s="753"/>
      <c r="F9" s="753"/>
      <c r="G9" s="753"/>
      <c r="H9" s="753"/>
      <c r="I9" s="753"/>
      <c r="J9" s="754"/>
    </row>
    <row r="10" spans="2:10" ht="15.75">
      <c r="B10" s="752"/>
      <c r="C10" s="753"/>
      <c r="D10" s="753"/>
      <c r="E10" s="753"/>
      <c r="F10" s="753"/>
      <c r="G10" s="753"/>
      <c r="H10" s="753"/>
      <c r="I10" s="753"/>
      <c r="J10" s="754"/>
    </row>
    <row r="11" spans="2:10" ht="15.75">
      <c r="B11" s="752"/>
      <c r="C11" s="753"/>
      <c r="D11" s="753"/>
      <c r="E11" s="753"/>
      <c r="F11" s="753"/>
      <c r="G11" s="753"/>
      <c r="H11" s="753"/>
      <c r="I11" s="753"/>
      <c r="J11" s="754"/>
    </row>
    <row r="12" spans="2:10" ht="15.75">
      <c r="B12" s="752"/>
      <c r="C12" s="753"/>
      <c r="D12" s="753"/>
      <c r="E12" s="753"/>
      <c r="F12" s="753"/>
      <c r="G12" s="753"/>
      <c r="H12" s="753"/>
      <c r="I12" s="753"/>
      <c r="J12" s="754"/>
    </row>
    <row r="13" spans="2:10" ht="22.5">
      <c r="B13" s="767" t="s">
        <v>164</v>
      </c>
      <c r="C13" s="768"/>
      <c r="D13" s="768"/>
      <c r="E13" s="768"/>
      <c r="F13" s="768"/>
      <c r="G13" s="768"/>
      <c r="H13" s="768"/>
      <c r="I13" s="768"/>
      <c r="J13" s="769"/>
    </row>
    <row r="14" spans="2:10" ht="15.75">
      <c r="B14" s="752"/>
      <c r="C14" s="770" t="s">
        <v>245</v>
      </c>
      <c r="D14" s="771"/>
      <c r="E14" s="771"/>
      <c r="F14" s="771"/>
      <c r="G14" s="771"/>
      <c r="H14" s="771"/>
      <c r="I14" s="771"/>
      <c r="J14" s="754"/>
    </row>
    <row r="15" spans="2:10" ht="15.75">
      <c r="B15" s="752"/>
      <c r="C15" s="772"/>
      <c r="D15" s="772"/>
      <c r="E15" s="772"/>
      <c r="F15" s="772"/>
      <c r="G15" s="772"/>
      <c r="H15" s="772"/>
      <c r="I15" s="772"/>
      <c r="J15" s="754"/>
    </row>
    <row r="16" spans="2:10" ht="15.75">
      <c r="B16" s="752"/>
      <c r="C16" s="773" t="s">
        <v>988</v>
      </c>
      <c r="D16" s="773"/>
      <c r="E16" s="773"/>
      <c r="F16" s="773"/>
      <c r="G16" s="773"/>
      <c r="H16" s="773"/>
      <c r="I16" s="773"/>
      <c r="J16" s="754"/>
    </row>
    <row r="17" spans="2:10" ht="15.75">
      <c r="B17" s="752"/>
      <c r="C17" s="773"/>
      <c r="D17" s="773"/>
      <c r="E17" s="773"/>
      <c r="F17" s="773"/>
      <c r="G17" s="773"/>
      <c r="H17" s="773"/>
      <c r="I17" s="773"/>
      <c r="J17" s="754"/>
    </row>
    <row r="18" spans="2:10" ht="15.75">
      <c r="B18" s="752"/>
      <c r="C18" s="753"/>
      <c r="D18" s="753"/>
      <c r="E18" s="753"/>
      <c r="F18" s="753"/>
      <c r="G18" s="753"/>
      <c r="H18" s="753"/>
      <c r="I18" s="753"/>
      <c r="J18" s="754"/>
    </row>
    <row r="19" spans="2:10" ht="15.75">
      <c r="B19" s="752"/>
      <c r="C19" s="753"/>
      <c r="D19" s="753"/>
      <c r="E19" s="753"/>
      <c r="F19" s="753"/>
      <c r="G19" s="753"/>
      <c r="H19" s="753"/>
      <c r="I19" s="753"/>
      <c r="J19" s="754"/>
    </row>
    <row r="20" spans="2:10" ht="15.75">
      <c r="B20" s="752"/>
      <c r="C20" s="753"/>
      <c r="D20" s="753"/>
      <c r="E20" s="753"/>
      <c r="F20" s="753"/>
      <c r="G20" s="753"/>
      <c r="H20" s="753"/>
      <c r="I20" s="753"/>
      <c r="J20" s="754"/>
    </row>
    <row r="21" spans="2:10" ht="15.75">
      <c r="B21" s="752"/>
      <c r="C21" s="753"/>
      <c r="D21" s="753"/>
      <c r="E21" s="753"/>
      <c r="F21" s="753"/>
      <c r="G21" s="753"/>
      <c r="H21" s="753"/>
      <c r="I21" s="753"/>
      <c r="J21" s="754"/>
    </row>
    <row r="22" spans="2:10" ht="15.75">
      <c r="B22" s="752"/>
      <c r="C22" s="753"/>
      <c r="D22" s="753"/>
      <c r="E22" s="753"/>
      <c r="F22" s="753"/>
      <c r="G22" s="753"/>
      <c r="H22" s="753"/>
      <c r="I22" s="753"/>
      <c r="J22" s="754"/>
    </row>
    <row r="23" spans="2:10" ht="15.75">
      <c r="B23" s="752"/>
      <c r="C23" s="753"/>
      <c r="D23" s="753"/>
      <c r="E23" s="753"/>
      <c r="F23" s="753"/>
      <c r="G23" s="753"/>
      <c r="H23" s="753"/>
      <c r="I23" s="753"/>
      <c r="J23" s="754"/>
    </row>
    <row r="24" spans="2:10" ht="15.75">
      <c r="B24" s="752"/>
      <c r="C24" s="753"/>
      <c r="D24" s="753"/>
      <c r="E24" s="753"/>
      <c r="F24" s="753"/>
      <c r="G24" s="753"/>
      <c r="H24" s="753"/>
      <c r="I24" s="753"/>
      <c r="J24" s="754"/>
    </row>
    <row r="25" spans="2:10" ht="15.75">
      <c r="B25" s="752"/>
      <c r="C25" s="753"/>
      <c r="D25" s="753"/>
      <c r="E25" s="753"/>
      <c r="F25" s="753"/>
      <c r="G25" s="753"/>
      <c r="H25" s="753"/>
      <c r="I25" s="753"/>
      <c r="J25" s="754"/>
    </row>
    <row r="26" spans="2:10" ht="17.25">
      <c r="B26" s="752"/>
      <c r="C26" s="761"/>
      <c r="D26" s="761"/>
      <c r="E26" s="761"/>
      <c r="F26" s="761"/>
      <c r="G26" s="761"/>
      <c r="H26" s="761"/>
      <c r="I26" s="761"/>
      <c r="J26" s="754"/>
    </row>
    <row r="27" spans="2:10" ht="17.25">
      <c r="B27" s="752"/>
      <c r="C27" s="761"/>
      <c r="D27" s="761"/>
      <c r="E27" s="761"/>
      <c r="F27" s="761"/>
      <c r="G27" s="761"/>
      <c r="H27" s="761"/>
      <c r="I27" s="761"/>
      <c r="J27" s="754"/>
    </row>
    <row r="28" spans="2:10" ht="17.25">
      <c r="B28" s="752"/>
      <c r="C28" s="761" t="s">
        <v>989</v>
      </c>
      <c r="D28" s="761"/>
      <c r="E28" s="761"/>
      <c r="F28" s="761"/>
      <c r="G28" s="761"/>
      <c r="H28" s="761"/>
      <c r="I28" s="761"/>
      <c r="J28" s="754"/>
    </row>
    <row r="29" spans="2:10" ht="17.25">
      <c r="B29" s="752"/>
      <c r="C29" s="756"/>
      <c r="D29" s="756"/>
      <c r="E29" s="756"/>
      <c r="F29" s="756"/>
      <c r="G29" s="756"/>
      <c r="H29" s="756"/>
      <c r="I29" s="756"/>
      <c r="J29" s="754"/>
    </row>
    <row r="30" spans="2:10" ht="15.75">
      <c r="B30" s="752"/>
      <c r="C30" s="753"/>
      <c r="D30" s="753"/>
      <c r="E30" s="753"/>
      <c r="F30" s="753"/>
      <c r="G30" s="753"/>
      <c r="H30" s="753"/>
      <c r="I30" s="753"/>
      <c r="J30" s="754"/>
    </row>
    <row r="31" spans="2:10" ht="15.75">
      <c r="B31" s="752"/>
      <c r="C31" s="753"/>
      <c r="D31" s="753"/>
      <c r="E31" s="753"/>
      <c r="F31" s="753"/>
      <c r="G31" s="753"/>
      <c r="H31" s="753"/>
      <c r="I31" s="753"/>
      <c r="J31" s="754"/>
    </row>
    <row r="32" spans="2:10" ht="16.5">
      <c r="B32" s="752"/>
      <c r="C32" s="755"/>
      <c r="D32" s="755"/>
      <c r="E32" s="755"/>
      <c r="F32" s="755"/>
      <c r="G32" s="755"/>
      <c r="H32" s="755"/>
      <c r="I32" s="755"/>
      <c r="J32" s="754"/>
    </row>
    <row r="33" spans="2:10" ht="16.5">
      <c r="B33" s="752"/>
      <c r="C33" s="755"/>
      <c r="D33" s="755"/>
      <c r="E33" s="755"/>
      <c r="F33" s="755"/>
      <c r="G33" s="755"/>
      <c r="H33" s="755"/>
      <c r="I33" s="755"/>
      <c r="J33" s="754"/>
    </row>
    <row r="34" spans="2:10" ht="18">
      <c r="B34" s="752"/>
      <c r="C34" s="762" t="s">
        <v>990</v>
      </c>
      <c r="D34" s="762"/>
      <c r="E34" s="762"/>
      <c r="F34" s="762"/>
      <c r="G34" s="762"/>
      <c r="H34" s="762"/>
      <c r="I34" s="762"/>
      <c r="J34" s="754"/>
    </row>
    <row r="35" spans="2:10" ht="16.5">
      <c r="B35" s="752"/>
      <c r="C35" s="755"/>
      <c r="D35" s="755"/>
      <c r="E35" s="755"/>
      <c r="F35" s="755"/>
      <c r="G35" s="755"/>
      <c r="H35" s="755"/>
      <c r="I35" s="755"/>
      <c r="J35" s="754"/>
    </row>
    <row r="36" spans="2:10" ht="16.5">
      <c r="B36" s="752"/>
      <c r="C36" s="755"/>
      <c r="D36" s="755"/>
      <c r="E36" s="755"/>
      <c r="F36" s="755"/>
      <c r="G36" s="755"/>
      <c r="H36" s="755"/>
      <c r="I36" s="755"/>
      <c r="J36" s="754"/>
    </row>
    <row r="37" spans="2:10" ht="16.5">
      <c r="B37" s="752"/>
      <c r="C37" s="755"/>
      <c r="D37" s="755"/>
      <c r="E37" s="755"/>
      <c r="F37" s="755"/>
      <c r="G37" s="755"/>
      <c r="H37" s="755"/>
      <c r="I37" s="755"/>
      <c r="J37" s="754"/>
    </row>
    <row r="38" spans="2:10" ht="16.5">
      <c r="B38" s="752"/>
      <c r="C38" s="755"/>
      <c r="D38" s="755"/>
      <c r="E38" s="755"/>
      <c r="F38" s="755"/>
      <c r="G38" s="755"/>
      <c r="H38" s="755"/>
      <c r="I38" s="755"/>
      <c r="J38" s="754"/>
    </row>
    <row r="39" spans="2:10" ht="15.75">
      <c r="B39" s="752"/>
      <c r="C39" s="753"/>
      <c r="D39" s="753"/>
      <c r="E39" s="753"/>
      <c r="F39" s="753"/>
      <c r="G39" s="753"/>
      <c r="H39" s="753"/>
      <c r="I39" s="753"/>
      <c r="J39" s="754"/>
    </row>
    <row r="40" spans="2:10" ht="16.5">
      <c r="B40" s="752"/>
      <c r="C40" s="755"/>
      <c r="D40" s="755"/>
      <c r="E40" s="755"/>
      <c r="F40" s="755"/>
      <c r="G40" s="755"/>
      <c r="H40" s="755"/>
      <c r="I40" s="755"/>
      <c r="J40" s="754"/>
    </row>
    <row r="41" spans="2:10" ht="15.75">
      <c r="B41" s="752"/>
      <c r="C41" s="763"/>
      <c r="D41" s="763"/>
      <c r="E41" s="763"/>
      <c r="F41" s="763"/>
      <c r="G41" s="763"/>
      <c r="H41" s="763"/>
      <c r="I41" s="763"/>
      <c r="J41" s="754"/>
    </row>
    <row r="42" spans="2:10" ht="15.75">
      <c r="B42" s="752"/>
      <c r="C42" s="763"/>
      <c r="D42" s="763"/>
      <c r="E42" s="763"/>
      <c r="F42" s="763"/>
      <c r="G42" s="763"/>
      <c r="H42" s="763"/>
      <c r="I42" s="763"/>
      <c r="J42" s="754"/>
    </row>
    <row r="43" spans="2:10" ht="16.5">
      <c r="B43" s="752"/>
      <c r="C43" s="755"/>
      <c r="D43" s="755"/>
      <c r="E43" s="755"/>
      <c r="F43" s="755"/>
      <c r="G43" s="755"/>
      <c r="H43" s="755"/>
      <c r="I43" s="755"/>
      <c r="J43" s="754"/>
    </row>
    <row r="44" spans="2:10" ht="15.75">
      <c r="B44" s="757"/>
      <c r="C44" s="758"/>
      <c r="D44" s="758"/>
      <c r="E44" s="758"/>
      <c r="F44" s="758"/>
      <c r="G44" s="758"/>
      <c r="H44" s="758"/>
      <c r="I44" s="758"/>
      <c r="J44" s="759"/>
    </row>
  </sheetData>
  <sheetProtection password="A2B1" sheet="1" objects="1" scenarios="1"/>
  <mergeCells count="9">
    <mergeCell ref="C28:I28"/>
    <mergeCell ref="C34:I34"/>
    <mergeCell ref="C41:I42"/>
    <mergeCell ref="B6:J8"/>
    <mergeCell ref="B13:J13"/>
    <mergeCell ref="C14:I15"/>
    <mergeCell ref="C16:I17"/>
    <mergeCell ref="C26:I26"/>
    <mergeCell ref="C27:I27"/>
  </mergeCells>
  <printOptions horizontalCentered="1"/>
  <pageMargins left="0.7" right="0.7" top="0.75" bottom="0.75" header="0.3" footer="0.3"/>
  <pageSetup paperSize="9" scale="105" orientation="portrait" verticalDpi="0" r:id="rId1"/>
  <drawing r:id="rId2"/>
</worksheet>
</file>

<file path=xl/worksheets/sheet2.xml><?xml version="1.0" encoding="utf-8"?>
<worksheet xmlns="http://schemas.openxmlformats.org/spreadsheetml/2006/main" xmlns:r="http://schemas.openxmlformats.org/officeDocument/2006/relationships">
  <sheetPr codeName="Sheet4">
    <pageSetUpPr fitToPage="1"/>
  </sheetPr>
  <dimension ref="B1:U53"/>
  <sheetViews>
    <sheetView showGridLines="0" view="pageBreakPreview" zoomScale="85" zoomScaleNormal="70" zoomScaleSheetLayoutView="85" workbookViewId="0">
      <pane ySplit="8" topLeftCell="A9" activePane="bottomLeft" state="frozen"/>
      <selection pane="bottomLeft" activeCell="E8" sqref="E8"/>
    </sheetView>
  </sheetViews>
  <sheetFormatPr defaultRowHeight="15"/>
  <cols>
    <col min="2" max="2" width="5" style="1" customWidth="1"/>
    <col min="3" max="3" width="35.28515625" style="4" customWidth="1"/>
    <col min="4" max="4" width="30.5703125" style="4" customWidth="1"/>
    <col min="5" max="5" width="15.85546875" style="4" customWidth="1"/>
    <col min="6" max="6" width="73" style="4" customWidth="1"/>
    <col min="7" max="7" width="5.5703125" customWidth="1"/>
    <col min="15" max="15" width="9.140625" customWidth="1"/>
  </cols>
  <sheetData>
    <row r="1" spans="2:7" s="1" customFormat="1">
      <c r="C1" s="4"/>
      <c r="D1" s="4"/>
      <c r="E1" s="4"/>
      <c r="F1" s="4"/>
    </row>
    <row r="2" spans="2:7" s="1" customFormat="1">
      <c r="B2" s="323"/>
      <c r="C2" s="322"/>
      <c r="D2" s="322"/>
      <c r="E2" s="322"/>
      <c r="F2" s="322"/>
      <c r="G2" s="323"/>
    </row>
    <row r="3" spans="2:7" s="1" customFormat="1" ht="8.25" customHeight="1">
      <c r="B3" s="323"/>
      <c r="C3" s="324"/>
      <c r="D3" s="325"/>
      <c r="E3" s="325"/>
      <c r="F3" s="648"/>
      <c r="G3" s="323"/>
    </row>
    <row r="4" spans="2:7" s="1" customFormat="1" ht="42" customHeight="1">
      <c r="B4" s="328"/>
      <c r="C4" s="777" t="s">
        <v>164</v>
      </c>
      <c r="D4" s="778"/>
      <c r="E4" s="778"/>
      <c r="F4" s="779"/>
      <c r="G4" s="328"/>
    </row>
    <row r="5" spans="2:7" s="1" customFormat="1" ht="31.5" customHeight="1">
      <c r="B5" s="725"/>
      <c r="C5" s="774" t="s">
        <v>254</v>
      </c>
      <c r="D5" s="775"/>
      <c r="E5" s="775"/>
      <c r="F5" s="776"/>
      <c r="G5" s="323"/>
    </row>
    <row r="6" spans="2:7" s="1" customFormat="1" ht="21" customHeight="1">
      <c r="B6" s="323"/>
      <c r="C6" s="780" t="s">
        <v>245</v>
      </c>
      <c r="D6" s="781"/>
      <c r="E6" s="781"/>
      <c r="F6" s="782"/>
      <c r="G6" s="323"/>
    </row>
    <row r="7" spans="2:7" s="1" customFormat="1" ht="2.25" customHeight="1">
      <c r="B7" s="323"/>
      <c r="C7" s="330"/>
      <c r="D7" s="331"/>
      <c r="E7" s="331"/>
      <c r="F7" s="649"/>
      <c r="G7" s="323"/>
    </row>
    <row r="8" spans="2:7" s="6" customFormat="1" ht="18.75">
      <c r="B8" s="726"/>
      <c r="C8" s="727" t="s">
        <v>81</v>
      </c>
      <c r="D8" s="728"/>
      <c r="E8" s="729" t="s">
        <v>163</v>
      </c>
      <c r="F8" s="730" t="s">
        <v>221</v>
      </c>
      <c r="G8" s="726"/>
    </row>
    <row r="9" spans="2:7" s="1" customFormat="1">
      <c r="B9" s="323"/>
      <c r="C9" s="322"/>
      <c r="D9" s="322"/>
      <c r="E9" s="322"/>
      <c r="F9" s="322"/>
      <c r="G9" s="323"/>
    </row>
    <row r="10" spans="2:7" s="1" customFormat="1">
      <c r="B10" s="323"/>
      <c r="C10" s="322"/>
      <c r="D10" s="322"/>
      <c r="E10" s="322"/>
      <c r="F10" s="322"/>
      <c r="G10" s="323"/>
    </row>
    <row r="11" spans="2:7" s="1" customFormat="1" ht="23.25">
      <c r="B11" s="323"/>
      <c r="C11" s="789" t="s">
        <v>82</v>
      </c>
      <c r="D11" s="789"/>
      <c r="E11" s="789"/>
      <c r="F11" s="789"/>
      <c r="G11" s="323"/>
    </row>
    <row r="12" spans="2:7" ht="15" customHeight="1">
      <c r="B12" s="323"/>
      <c r="C12" s="790" t="s">
        <v>1087</v>
      </c>
      <c r="D12" s="790"/>
      <c r="E12" s="790"/>
      <c r="F12" s="790"/>
      <c r="G12" s="731"/>
    </row>
    <row r="13" spans="2:7" ht="15" customHeight="1">
      <c r="B13" s="323"/>
      <c r="C13" s="790"/>
      <c r="D13" s="790"/>
      <c r="E13" s="790"/>
      <c r="F13" s="790"/>
      <c r="G13" s="731"/>
    </row>
    <row r="14" spans="2:7" ht="57.75" customHeight="1">
      <c r="B14" s="323"/>
      <c r="C14" s="790"/>
      <c r="D14" s="790"/>
      <c r="E14" s="790"/>
      <c r="F14" s="790"/>
      <c r="G14" s="731"/>
    </row>
    <row r="15" spans="2:7" ht="12" customHeight="1">
      <c r="B15" s="323"/>
      <c r="C15" s="732" t="s">
        <v>246</v>
      </c>
      <c r="D15" s="732"/>
      <c r="E15" s="732"/>
      <c r="F15" s="732"/>
      <c r="G15" s="732"/>
    </row>
    <row r="16" spans="2:7" s="1" customFormat="1" ht="15.75">
      <c r="B16" s="323"/>
      <c r="C16" s="733"/>
      <c r="D16" s="734"/>
      <c r="E16" s="734"/>
      <c r="F16" s="734"/>
      <c r="G16" s="323"/>
    </row>
    <row r="17" spans="2:21">
      <c r="B17" s="323"/>
      <c r="C17" s="322"/>
      <c r="D17" s="734"/>
      <c r="E17" s="734"/>
      <c r="F17" s="734"/>
      <c r="G17" s="323"/>
    </row>
    <row r="18" spans="2:21">
      <c r="B18" s="323"/>
      <c r="C18" s="322"/>
      <c r="D18" s="734"/>
      <c r="E18" s="734"/>
      <c r="F18" s="734"/>
      <c r="G18" s="323"/>
    </row>
    <row r="19" spans="2:21">
      <c r="B19" s="323"/>
      <c r="C19" s="322"/>
      <c r="D19" s="734"/>
      <c r="E19" s="734"/>
      <c r="F19" s="734"/>
      <c r="G19" s="323"/>
    </row>
    <row r="20" spans="2:21">
      <c r="B20" s="323"/>
      <c r="C20" s="322"/>
      <c r="D20" s="734"/>
      <c r="E20" s="734"/>
      <c r="F20" s="734"/>
      <c r="G20" s="323"/>
      <c r="I20" s="3"/>
    </row>
    <row r="21" spans="2:21">
      <c r="B21" s="323"/>
      <c r="C21" s="322"/>
      <c r="D21" s="734"/>
      <c r="E21" s="734"/>
      <c r="F21" s="734"/>
      <c r="G21" s="323"/>
      <c r="I21" s="3"/>
    </row>
    <row r="22" spans="2:21">
      <c r="B22" s="323"/>
      <c r="C22" s="322"/>
      <c r="D22" s="322"/>
      <c r="E22" s="322"/>
      <c r="F22" s="322"/>
      <c r="G22" s="323"/>
      <c r="I22" s="3"/>
    </row>
    <row r="23" spans="2:21">
      <c r="B23" s="323"/>
      <c r="C23" s="322"/>
      <c r="D23" s="322"/>
      <c r="E23" s="322"/>
      <c r="F23" s="322"/>
      <c r="G23" s="323"/>
      <c r="I23" s="4"/>
    </row>
    <row r="24" spans="2:21">
      <c r="B24" s="323"/>
      <c r="C24" s="322"/>
      <c r="D24" s="322"/>
      <c r="E24" s="322"/>
      <c r="F24" s="322"/>
      <c r="G24" s="323"/>
      <c r="I24" s="4"/>
    </row>
    <row r="25" spans="2:21">
      <c r="B25" s="323"/>
      <c r="C25" s="322"/>
      <c r="D25" s="322"/>
      <c r="E25" s="322"/>
      <c r="F25" s="322"/>
      <c r="G25" s="323"/>
      <c r="I25" s="4"/>
    </row>
    <row r="26" spans="2:21">
      <c r="B26" s="323"/>
      <c r="C26" s="322"/>
      <c r="D26" s="322"/>
      <c r="E26" s="322"/>
      <c r="F26" s="322"/>
      <c r="G26" s="323"/>
    </row>
    <row r="27" spans="2:21">
      <c r="B27" s="323"/>
      <c r="C27" s="322"/>
      <c r="D27" s="322"/>
      <c r="E27" s="322"/>
      <c r="F27" s="322"/>
      <c r="G27" s="323"/>
    </row>
    <row r="28" spans="2:21">
      <c r="B28" s="323"/>
      <c r="C28" s="322"/>
      <c r="D28" s="322"/>
      <c r="E28" s="322"/>
      <c r="F28" s="322"/>
      <c r="G28" s="323"/>
    </row>
    <row r="29" spans="2:21">
      <c r="B29" s="323"/>
      <c r="C29" s="322"/>
      <c r="D29" s="322"/>
      <c r="E29" s="322"/>
      <c r="F29" s="322"/>
      <c r="G29" s="323"/>
    </row>
    <row r="30" spans="2:21">
      <c r="B30" s="323"/>
      <c r="C30" s="322"/>
      <c r="D30" s="322"/>
      <c r="E30" s="322"/>
      <c r="F30" s="322"/>
      <c r="G30" s="323"/>
    </row>
    <row r="31" spans="2:21">
      <c r="B31" s="323"/>
      <c r="C31" s="322"/>
      <c r="D31" s="322"/>
      <c r="E31" s="322"/>
      <c r="F31" s="322"/>
      <c r="G31" s="323"/>
      <c r="U31" s="1"/>
    </row>
    <row r="32" spans="2:21" s="1" customFormat="1">
      <c r="B32" s="323"/>
      <c r="C32" s="322"/>
      <c r="D32" s="322"/>
      <c r="E32" s="322"/>
      <c r="F32" s="322"/>
      <c r="G32" s="323"/>
    </row>
    <row r="33" spans="2:7" s="1" customFormat="1">
      <c r="B33" s="323"/>
      <c r="C33" s="322"/>
      <c r="D33" s="322"/>
      <c r="E33" s="322"/>
      <c r="F33" s="322"/>
      <c r="G33" s="323"/>
    </row>
    <row r="34" spans="2:7" s="7" customFormat="1" ht="19.5" thickBot="1">
      <c r="B34" s="651"/>
      <c r="C34" s="791" t="s">
        <v>165</v>
      </c>
      <c r="D34" s="792"/>
      <c r="E34" s="792"/>
      <c r="F34" s="735" t="s">
        <v>247</v>
      </c>
      <c r="G34" s="651"/>
    </row>
    <row r="35" spans="2:7" s="1" customFormat="1" ht="23.25">
      <c r="B35" s="323"/>
      <c r="C35" s="736" t="s">
        <v>222</v>
      </c>
      <c r="D35" s="322"/>
      <c r="E35" s="322"/>
      <c r="F35" s="737"/>
      <c r="G35" s="323"/>
    </row>
    <row r="36" spans="2:7" s="1" customFormat="1" ht="15" customHeight="1">
      <c r="B36" s="323"/>
      <c r="C36" s="783" t="s">
        <v>995</v>
      </c>
      <c r="D36" s="784"/>
      <c r="E36" s="784"/>
      <c r="F36" s="787" t="s">
        <v>992</v>
      </c>
      <c r="G36" s="323"/>
    </row>
    <row r="37" spans="2:7" s="1" customFormat="1" ht="15" customHeight="1">
      <c r="B37" s="323"/>
      <c r="C37" s="783"/>
      <c r="D37" s="784"/>
      <c r="E37" s="784"/>
      <c r="F37" s="787"/>
      <c r="G37" s="323"/>
    </row>
    <row r="38" spans="2:7" s="1" customFormat="1" ht="15" customHeight="1">
      <c r="B38" s="323"/>
      <c r="C38" s="783"/>
      <c r="D38" s="784"/>
      <c r="E38" s="784"/>
      <c r="F38" s="787"/>
      <c r="G38" s="323"/>
    </row>
    <row r="39" spans="2:7" s="1" customFormat="1" ht="39.75" customHeight="1">
      <c r="B39" s="323"/>
      <c r="C39" s="783"/>
      <c r="D39" s="784"/>
      <c r="E39" s="784"/>
      <c r="F39" s="787"/>
      <c r="G39" s="323"/>
    </row>
    <row r="40" spans="2:7" s="1" customFormat="1" ht="11.25" customHeight="1">
      <c r="B40" s="323"/>
      <c r="C40" s="738"/>
      <c r="D40" s="739"/>
      <c r="E40" s="739"/>
      <c r="F40" s="740"/>
      <c r="G40" s="323"/>
    </row>
    <row r="41" spans="2:7" s="1" customFormat="1" ht="23.25">
      <c r="B41" s="323"/>
      <c r="C41" s="736" t="s">
        <v>223</v>
      </c>
      <c r="D41" s="322"/>
      <c r="E41" s="322"/>
      <c r="F41" s="741"/>
      <c r="G41" s="323"/>
    </row>
    <row r="42" spans="2:7" s="1" customFormat="1" ht="15" customHeight="1">
      <c r="B42" s="323"/>
      <c r="C42" s="783" t="s">
        <v>991</v>
      </c>
      <c r="D42" s="784"/>
      <c r="E42" s="784"/>
      <c r="F42" s="787" t="s">
        <v>1171</v>
      </c>
      <c r="G42" s="323"/>
    </row>
    <row r="43" spans="2:7" s="1" customFormat="1" ht="15" customHeight="1">
      <c r="B43" s="323"/>
      <c r="C43" s="783"/>
      <c r="D43" s="784"/>
      <c r="E43" s="784"/>
      <c r="F43" s="787"/>
      <c r="G43" s="323"/>
    </row>
    <row r="44" spans="2:7" s="1" customFormat="1" ht="15" customHeight="1">
      <c r="B44" s="323"/>
      <c r="C44" s="783"/>
      <c r="D44" s="784"/>
      <c r="E44" s="784"/>
      <c r="F44" s="787"/>
      <c r="G44" s="323"/>
    </row>
    <row r="45" spans="2:7" s="1" customFormat="1" ht="76.5" customHeight="1">
      <c r="B45" s="323"/>
      <c r="C45" s="783"/>
      <c r="D45" s="784"/>
      <c r="E45" s="784"/>
      <c r="F45" s="787"/>
      <c r="G45" s="323"/>
    </row>
    <row r="46" spans="2:7" s="1" customFormat="1" ht="21.75" customHeight="1">
      <c r="B46" s="323"/>
      <c r="C46" s="742"/>
      <c r="D46" s="743"/>
      <c r="E46" s="743"/>
      <c r="F46" s="744"/>
      <c r="G46" s="323"/>
    </row>
    <row r="47" spans="2:7" s="1" customFormat="1" ht="23.25">
      <c r="B47" s="323"/>
      <c r="C47" s="745" t="s">
        <v>224</v>
      </c>
      <c r="D47" s="746"/>
      <c r="E47" s="746"/>
      <c r="F47" s="747"/>
      <c r="G47" s="323"/>
    </row>
    <row r="48" spans="2:7" s="1" customFormat="1" ht="15" customHeight="1">
      <c r="B48" s="323"/>
      <c r="C48" s="783" t="s">
        <v>1172</v>
      </c>
      <c r="D48" s="784"/>
      <c r="E48" s="784"/>
      <c r="F48" s="787" t="s">
        <v>249</v>
      </c>
      <c r="G48" s="323"/>
    </row>
    <row r="49" spans="2:7" s="1" customFormat="1" ht="15" customHeight="1">
      <c r="B49" s="323"/>
      <c r="C49" s="783"/>
      <c r="D49" s="784"/>
      <c r="E49" s="784"/>
      <c r="F49" s="787"/>
      <c r="G49" s="323"/>
    </row>
    <row r="50" spans="2:7" s="1" customFormat="1" ht="15" customHeight="1">
      <c r="B50" s="323"/>
      <c r="C50" s="783"/>
      <c r="D50" s="784"/>
      <c r="E50" s="784"/>
      <c r="F50" s="787"/>
      <c r="G50" s="323"/>
    </row>
    <row r="51" spans="2:7" s="1" customFormat="1" ht="45.75" customHeight="1">
      <c r="B51" s="323"/>
      <c r="C51" s="785"/>
      <c r="D51" s="786"/>
      <c r="E51" s="786"/>
      <c r="F51" s="788"/>
      <c r="G51" s="323"/>
    </row>
    <row r="52" spans="2:7" s="1" customFormat="1">
      <c r="B52" s="323"/>
      <c r="C52" s="322"/>
      <c r="D52" s="322"/>
      <c r="E52" s="322"/>
      <c r="F52" s="322"/>
      <c r="G52" s="323"/>
    </row>
    <row r="53" spans="2:7">
      <c r="B53" s="323"/>
      <c r="C53" s="322"/>
      <c r="D53" s="322"/>
      <c r="E53" s="322"/>
      <c r="F53" s="322"/>
      <c r="G53" s="323"/>
    </row>
  </sheetData>
  <sheetProtection password="A2B1" sheet="1" objects="1" scenarios="1"/>
  <mergeCells count="12">
    <mergeCell ref="C5:F5"/>
    <mergeCell ref="C4:F4"/>
    <mergeCell ref="C6:F6"/>
    <mergeCell ref="C48:E51"/>
    <mergeCell ref="F48:F51"/>
    <mergeCell ref="C11:F11"/>
    <mergeCell ref="C12:F14"/>
    <mergeCell ref="C36:E39"/>
    <mergeCell ref="F36:F39"/>
    <mergeCell ref="C42:E45"/>
    <mergeCell ref="F42:F45"/>
    <mergeCell ref="C34:E34"/>
  </mergeCells>
  <hyperlinks>
    <hyperlink ref="E8" location="'ULB target'!A1" display="ULB TARGET "/>
    <hyperlink ref="C8" location="'User guide'!A1" display="USER GUIDE"/>
    <hyperlink ref="F8" location="Guidelines!A1" display="GUIDELINES"/>
  </hyperlinks>
  <pageMargins left="0.2" right="0.21" top="0.94" bottom="0.33" header="1.33" footer="0.3"/>
  <pageSetup paperSize="9" scale="60" orientation="portrait" verticalDpi="1200" r:id="rId1"/>
  <drawing r:id="rId2"/>
</worksheet>
</file>

<file path=xl/worksheets/sheet3.xml><?xml version="1.0" encoding="utf-8"?>
<worksheet xmlns="http://schemas.openxmlformats.org/spreadsheetml/2006/main" xmlns:r="http://schemas.openxmlformats.org/officeDocument/2006/relationships">
  <sheetPr codeName="Sheet1">
    <tabColor rgb="FF007434"/>
  </sheetPr>
  <dimension ref="A2:V211"/>
  <sheetViews>
    <sheetView showGridLines="0" view="pageBreakPreview" zoomScale="85" zoomScaleNormal="70" zoomScaleSheetLayoutView="85" zoomScalePageLayoutView="40" workbookViewId="0">
      <pane ySplit="9" topLeftCell="A112" activePane="bottomLeft" state="frozen"/>
      <selection activeCell="C1" sqref="C1"/>
      <selection pane="bottomLeft"/>
    </sheetView>
  </sheetViews>
  <sheetFormatPr defaultRowHeight="15" outlineLevelRow="1"/>
  <cols>
    <col min="1" max="1" width="5" style="321" customWidth="1"/>
    <col min="2" max="2" width="4" style="321" customWidth="1"/>
    <col min="3" max="3" width="9.5703125" style="321" customWidth="1"/>
    <col min="4" max="4" width="2.7109375" style="343" customWidth="1"/>
    <col min="5" max="5" width="58.140625" style="354" customWidth="1"/>
    <col min="6" max="6" width="11.140625" style="354" customWidth="1"/>
    <col min="7" max="7" width="12.85546875" style="343" customWidth="1"/>
    <col min="8" max="10" width="12.140625" style="343" customWidth="1"/>
    <col min="11" max="11" width="12.28515625" style="343" customWidth="1"/>
    <col min="12" max="12" width="2.85546875" style="343" customWidth="1"/>
    <col min="13" max="13" width="11.85546875" style="343" customWidth="1"/>
    <col min="14" max="14" width="26.5703125" style="364" customWidth="1"/>
    <col min="15" max="15" width="2.7109375" style="343" customWidth="1"/>
    <col min="16" max="16" width="9.140625" style="343"/>
    <col min="17" max="17" width="9.5703125" style="343" customWidth="1"/>
    <col min="18" max="18" width="9.140625" style="343"/>
    <col min="19" max="20" width="10.5703125" style="343" bestFit="1" customWidth="1"/>
    <col min="21" max="16384" width="9.140625" style="343"/>
  </cols>
  <sheetData>
    <row r="2" spans="2:16" s="320" customFormat="1" ht="9" customHeight="1">
      <c r="B2" s="321"/>
      <c r="C2" s="321"/>
      <c r="D2" s="322"/>
      <c r="E2" s="322"/>
      <c r="F2" s="322"/>
      <c r="G2" s="322"/>
      <c r="H2" s="322"/>
      <c r="I2" s="323"/>
      <c r="J2" s="323"/>
      <c r="K2" s="323"/>
      <c r="L2" s="323"/>
      <c r="M2" s="323"/>
      <c r="N2" s="323"/>
      <c r="O2" s="323"/>
    </row>
    <row r="3" spans="2:16" s="320" customFormat="1" ht="6.75" customHeight="1">
      <c r="B3" s="321"/>
      <c r="C3" s="321"/>
      <c r="D3" s="322"/>
      <c r="E3" s="324"/>
      <c r="F3" s="325"/>
      <c r="G3" s="325"/>
      <c r="H3" s="325"/>
      <c r="I3" s="326"/>
      <c r="J3" s="326"/>
      <c r="K3" s="326"/>
      <c r="L3" s="326"/>
      <c r="M3" s="326"/>
      <c r="N3" s="327"/>
      <c r="O3" s="323"/>
    </row>
    <row r="4" spans="2:16" s="320" customFormat="1" ht="42" customHeight="1">
      <c r="D4" s="328"/>
      <c r="E4" s="829" t="s">
        <v>164</v>
      </c>
      <c r="F4" s="830"/>
      <c r="G4" s="830"/>
      <c r="H4" s="830"/>
      <c r="I4" s="830"/>
      <c r="J4" s="830"/>
      <c r="K4" s="830"/>
      <c r="L4" s="830"/>
      <c r="M4" s="830"/>
      <c r="N4" s="831"/>
      <c r="O4" s="328"/>
    </row>
    <row r="5" spans="2:16" s="320" customFormat="1" ht="27" customHeight="1">
      <c r="D5" s="323"/>
      <c r="E5" s="774" t="s">
        <v>254</v>
      </c>
      <c r="F5" s="775"/>
      <c r="G5" s="775"/>
      <c r="H5" s="775"/>
      <c r="I5" s="775"/>
      <c r="J5" s="775"/>
      <c r="K5" s="775"/>
      <c r="L5" s="775"/>
      <c r="M5" s="775"/>
      <c r="N5" s="776"/>
      <c r="O5" s="323"/>
    </row>
    <row r="6" spans="2:16" s="320" customFormat="1" ht="19.5" customHeight="1">
      <c r="B6" s="321"/>
      <c r="C6" s="321"/>
      <c r="D6" s="329"/>
      <c r="E6" s="780" t="s">
        <v>245</v>
      </c>
      <c r="F6" s="781"/>
      <c r="G6" s="781"/>
      <c r="H6" s="781"/>
      <c r="I6" s="781"/>
      <c r="J6" s="781"/>
      <c r="K6" s="781"/>
      <c r="L6" s="781"/>
      <c r="M6" s="781"/>
      <c r="N6" s="782"/>
      <c r="O6" s="323"/>
    </row>
    <row r="7" spans="2:16" s="320" customFormat="1" ht="0.75" customHeight="1">
      <c r="B7" s="321"/>
      <c r="C7" s="321"/>
      <c r="D7" s="322"/>
      <c r="E7" s="330"/>
      <c r="F7" s="331"/>
      <c r="G7" s="331"/>
      <c r="H7" s="331"/>
      <c r="I7" s="332"/>
      <c r="J7" s="332"/>
      <c r="K7" s="332"/>
      <c r="L7" s="332"/>
      <c r="M7" s="332"/>
      <c r="N7" s="333"/>
      <c r="O7" s="323"/>
      <c r="P7" s="334"/>
    </row>
    <row r="8" spans="2:16" s="320" customFormat="1" ht="21">
      <c r="D8" s="323"/>
      <c r="E8" s="335" t="s">
        <v>81</v>
      </c>
      <c r="F8" s="336"/>
      <c r="G8" s="337"/>
      <c r="H8" s="832" t="s">
        <v>163</v>
      </c>
      <c r="I8" s="832"/>
      <c r="J8" s="338"/>
      <c r="K8" s="337"/>
      <c r="L8" s="338"/>
      <c r="M8" s="336" t="s">
        <v>221</v>
      </c>
      <c r="N8" s="339"/>
      <c r="O8" s="323"/>
    </row>
    <row r="9" spans="2:16" ht="4.5" customHeight="1">
      <c r="D9" s="340"/>
      <c r="E9" s="341"/>
      <c r="F9" s="341"/>
      <c r="G9" s="340"/>
      <c r="H9" s="340"/>
      <c r="I9" s="340"/>
      <c r="J9" s="340"/>
      <c r="K9" s="340"/>
      <c r="L9" s="340"/>
      <c r="M9" s="340"/>
      <c r="N9" s="342"/>
      <c r="O9" s="340"/>
    </row>
    <row r="10" spans="2:16" ht="21.75" customHeight="1">
      <c r="D10" s="340"/>
      <c r="E10" s="344" t="s">
        <v>47</v>
      </c>
      <c r="F10" s="344"/>
      <c r="G10" s="345"/>
      <c r="H10" s="346" t="s">
        <v>993</v>
      </c>
      <c r="I10" s="345"/>
      <c r="J10" s="345"/>
      <c r="K10" s="346" t="s">
        <v>162</v>
      </c>
      <c r="L10" s="345"/>
      <c r="M10" s="345"/>
      <c r="N10" s="347" t="s">
        <v>172</v>
      </c>
      <c r="O10" s="340"/>
    </row>
    <row r="11" spans="2:16" ht="21" hidden="1" customHeight="1">
      <c r="D11" s="340"/>
      <c r="E11" s="348" t="s">
        <v>244</v>
      </c>
      <c r="F11" s="348"/>
      <c r="G11" s="349"/>
      <c r="H11" s="350"/>
      <c r="I11" s="349"/>
      <c r="J11" s="350"/>
      <c r="K11" s="351"/>
      <c r="L11" s="350"/>
      <c r="M11" s="350"/>
      <c r="N11" s="352"/>
      <c r="O11" s="340"/>
    </row>
    <row r="12" spans="2:16" ht="15.75">
      <c r="D12" s="340"/>
      <c r="E12" s="353" t="s">
        <v>966</v>
      </c>
      <c r="F12" s="353"/>
      <c r="G12" s="833" t="s">
        <v>171</v>
      </c>
      <c r="H12" s="833"/>
      <c r="I12" s="833"/>
      <c r="J12" s="833"/>
      <c r="K12" s="833"/>
      <c r="L12" s="833"/>
      <c r="M12" s="833"/>
      <c r="N12" s="833"/>
      <c r="O12" s="340"/>
    </row>
    <row r="13" spans="2:16" ht="15" customHeight="1">
      <c r="D13" s="340"/>
      <c r="G13" s="355" t="s">
        <v>225</v>
      </c>
      <c r="I13" s="355" t="s">
        <v>226</v>
      </c>
      <c r="K13" s="355" t="s">
        <v>227</v>
      </c>
      <c r="L13" s="355"/>
      <c r="M13" s="355"/>
      <c r="N13" s="356" t="s">
        <v>994</v>
      </c>
      <c r="O13" s="340"/>
    </row>
    <row r="14" spans="2:16" ht="14.25" customHeight="1">
      <c r="D14" s="340"/>
      <c r="E14" s="357" t="s">
        <v>986</v>
      </c>
      <c r="F14" s="357"/>
      <c r="G14" s="358">
        <f>'General Info'!H8</f>
        <v>77778</v>
      </c>
      <c r="H14" s="321"/>
      <c r="I14" s="358">
        <f>'General Info'!H10</f>
        <v>17831</v>
      </c>
      <c r="J14" s="321"/>
      <c r="K14" s="359">
        <f>'Equity Related Information'!H8/'General Info'!H8</f>
        <v>0.12403250276427781</v>
      </c>
      <c r="L14" s="360"/>
      <c r="M14" s="360"/>
      <c r="N14" s="361">
        <f>'General Info'!H22</f>
        <v>19.579999999999998</v>
      </c>
      <c r="O14" s="340"/>
    </row>
    <row r="15" spans="2:16" ht="4.5" customHeight="1">
      <c r="D15" s="340"/>
      <c r="E15" s="362"/>
      <c r="F15" s="362"/>
      <c r="J15" s="363"/>
      <c r="O15" s="340"/>
    </row>
    <row r="16" spans="2:16" ht="5.25" customHeight="1" thickBot="1">
      <c r="D16" s="340"/>
      <c r="E16" s="341"/>
      <c r="F16" s="341"/>
      <c r="G16" s="365"/>
      <c r="H16" s="365"/>
      <c r="I16" s="365"/>
      <c r="J16" s="366"/>
      <c r="K16" s="365"/>
      <c r="L16" s="365"/>
      <c r="M16" s="365"/>
      <c r="N16" s="352"/>
      <c r="O16" s="340"/>
    </row>
    <row r="17" spans="2:22" ht="27" thickBot="1">
      <c r="D17" s="340"/>
      <c r="E17" s="803" t="s">
        <v>47</v>
      </c>
      <c r="F17" s="804"/>
      <c r="G17" s="804"/>
      <c r="H17" s="804"/>
      <c r="I17" s="804"/>
      <c r="J17" s="804"/>
      <c r="K17" s="804"/>
      <c r="L17" s="804"/>
      <c r="M17" s="804"/>
      <c r="N17" s="805"/>
      <c r="O17" s="340"/>
    </row>
    <row r="18" spans="2:22" s="367" customFormat="1" ht="51.75" customHeight="1" thickBot="1">
      <c r="C18" s="343"/>
      <c r="D18" s="340"/>
      <c r="E18" s="368" t="s">
        <v>1088</v>
      </c>
      <c r="F18" s="369" t="s">
        <v>973</v>
      </c>
      <c r="G18" s="370" t="s">
        <v>11</v>
      </c>
      <c r="H18" s="370" t="s">
        <v>12</v>
      </c>
      <c r="I18" s="370" t="s">
        <v>14</v>
      </c>
      <c r="J18" s="370" t="s">
        <v>50</v>
      </c>
      <c r="K18" s="371" t="s">
        <v>985</v>
      </c>
      <c r="L18" s="806" t="s">
        <v>954</v>
      </c>
      <c r="M18" s="806"/>
      <c r="N18" s="807"/>
      <c r="O18" s="340"/>
      <c r="P18" s="343"/>
      <c r="S18" s="343"/>
      <c r="T18" s="343"/>
      <c r="U18" s="343"/>
      <c r="V18" s="343"/>
    </row>
    <row r="19" spans="2:22" s="372" customFormat="1">
      <c r="D19" s="340"/>
      <c r="E19" s="373" t="s">
        <v>969</v>
      </c>
      <c r="F19" s="374"/>
      <c r="G19" s="374"/>
      <c r="H19" s="374"/>
      <c r="I19" s="374"/>
      <c r="J19" s="374"/>
      <c r="K19" s="374"/>
      <c r="L19" s="374"/>
      <c r="M19" s="374"/>
      <c r="N19" s="375"/>
      <c r="O19" s="340"/>
    </row>
    <row r="20" spans="2:22" s="372" customFormat="1">
      <c r="D20" s="340"/>
      <c r="E20" s="376" t="s">
        <v>996</v>
      </c>
      <c r="F20" s="313">
        <v>500</v>
      </c>
      <c r="G20" s="799"/>
      <c r="H20" s="799"/>
      <c r="I20" s="799"/>
      <c r="J20" s="799"/>
      <c r="K20" s="799"/>
      <c r="L20" s="799"/>
      <c r="M20" s="799"/>
      <c r="N20" s="800"/>
      <c r="O20" s="340"/>
    </row>
    <row r="21" spans="2:22" s="372" customFormat="1" ht="15.75" thickBot="1">
      <c r="D21" s="340"/>
      <c r="E21" s="377" t="s">
        <v>997</v>
      </c>
      <c r="F21" s="315">
        <v>2</v>
      </c>
      <c r="G21" s="793"/>
      <c r="H21" s="794"/>
      <c r="I21" s="794"/>
      <c r="J21" s="794"/>
      <c r="K21" s="794"/>
      <c r="L21" s="794"/>
      <c r="M21" s="794"/>
      <c r="N21" s="795"/>
      <c r="O21" s="340"/>
    </row>
    <row r="22" spans="2:22" ht="16.5" thickBot="1">
      <c r="D22" s="340"/>
      <c r="E22" s="378" t="s">
        <v>0</v>
      </c>
      <c r="F22" s="379"/>
      <c r="G22" s="380">
        <f>water!E163</f>
        <v>85.21266073194856</v>
      </c>
      <c r="H22" s="380">
        <f>water!F163</f>
        <v>84.102107450281977</v>
      </c>
      <c r="I22" s="380">
        <f>water!G163</f>
        <v>85.611386423879225</v>
      </c>
      <c r="J22" s="381">
        <f>water!H163</f>
        <v>91.07172901127251</v>
      </c>
      <c r="K22" s="382">
        <f>K23*100/'General Info'!K12</f>
        <v>91.027244548371314</v>
      </c>
      <c r="L22" s="383"/>
      <c r="M22" s="10">
        <v>95</v>
      </c>
      <c r="N22" s="384" t="s">
        <v>54</v>
      </c>
      <c r="O22" s="340"/>
    </row>
    <row r="23" spans="2:22" outlineLevel="1">
      <c r="D23" s="340"/>
      <c r="E23" s="385" t="s">
        <v>1</v>
      </c>
      <c r="F23" s="386"/>
      <c r="G23" s="387">
        <f>water!E29</f>
        <v>13784</v>
      </c>
      <c r="H23" s="388">
        <f>water!F29</f>
        <v>14167</v>
      </c>
      <c r="I23" s="388">
        <f>water!G29</f>
        <v>14857</v>
      </c>
      <c r="J23" s="388">
        <f>water!H29</f>
        <v>16239</v>
      </c>
      <c r="K23" s="389">
        <f>F20+water!H29</f>
        <v>16739</v>
      </c>
      <c r="L23" s="390"/>
      <c r="M23" s="391">
        <f>M22*'General Info'!K12/100</f>
        <v>17469.55</v>
      </c>
      <c r="N23" s="392"/>
      <c r="O23" s="340"/>
    </row>
    <row r="24" spans="2:22" ht="13.5" customHeight="1" outlineLevel="1">
      <c r="D24" s="340"/>
      <c r="E24" s="393" t="s">
        <v>1069</v>
      </c>
      <c r="F24" s="394"/>
      <c r="G24" s="395"/>
      <c r="H24" s="396">
        <f>MAX(H23-G23,0)</f>
        <v>383</v>
      </c>
      <c r="I24" s="396">
        <f>MAX(I23-H23,0)</f>
        <v>690</v>
      </c>
      <c r="J24" s="396">
        <f>MAX(J23-I23,0)</f>
        <v>1382</v>
      </c>
      <c r="K24" s="397">
        <f>MAX(K23-J23,0)</f>
        <v>500</v>
      </c>
      <c r="L24" s="390"/>
      <c r="M24" s="398">
        <f>MAX(M23-K23,0)</f>
        <v>730.54999999999927</v>
      </c>
      <c r="N24" s="392"/>
      <c r="O24" s="340"/>
    </row>
    <row r="25" spans="2:22" ht="24.75" outlineLevel="1" thickBot="1">
      <c r="D25" s="340"/>
      <c r="E25" s="399" t="s">
        <v>998</v>
      </c>
      <c r="F25" s="400"/>
      <c r="G25" s="401"/>
      <c r="H25" s="402"/>
      <c r="I25" s="402"/>
      <c r="J25" s="402"/>
      <c r="K25" s="403">
        <f>M25*M24/10^5</f>
        <v>7.3054999999999932</v>
      </c>
      <c r="L25" s="404"/>
      <c r="M25" s="13">
        <v>1000</v>
      </c>
      <c r="N25" s="405" t="s">
        <v>1051</v>
      </c>
      <c r="O25" s="340"/>
    </row>
    <row r="26" spans="2:22" ht="15.75" outlineLevel="1" thickBot="1">
      <c r="C26" s="406"/>
      <c r="D26" s="340"/>
      <c r="E26" s="341"/>
      <c r="F26" s="341"/>
      <c r="G26" s="340"/>
      <c r="H26" s="340"/>
      <c r="I26" s="340"/>
      <c r="J26" s="340"/>
      <c r="K26" s="340"/>
      <c r="L26" s="340"/>
      <c r="M26" s="407"/>
      <c r="N26" s="342"/>
      <c r="O26" s="340"/>
    </row>
    <row r="27" spans="2:22" s="372" customFormat="1" ht="15.75" thickBot="1">
      <c r="D27" s="340"/>
      <c r="E27" s="373" t="s">
        <v>967</v>
      </c>
      <c r="F27" s="374"/>
      <c r="G27" s="374"/>
      <c r="H27" s="374"/>
      <c r="I27" s="374"/>
      <c r="J27" s="374"/>
      <c r="K27" s="374"/>
      <c r="L27" s="374"/>
      <c r="M27" s="374"/>
      <c r="N27" s="375"/>
      <c r="O27" s="340"/>
    </row>
    <row r="28" spans="2:22" s="372" customFormat="1">
      <c r="D28" s="340"/>
      <c r="E28" s="408" t="s">
        <v>974</v>
      </c>
      <c r="F28" s="302">
        <v>0</v>
      </c>
      <c r="G28" s="801"/>
      <c r="H28" s="801"/>
      <c r="I28" s="801"/>
      <c r="J28" s="801"/>
      <c r="K28" s="801"/>
      <c r="L28" s="801"/>
      <c r="M28" s="801"/>
      <c r="N28" s="802"/>
      <c r="O28" s="340"/>
    </row>
    <row r="29" spans="2:22" s="372" customFormat="1" ht="28.5" customHeight="1">
      <c r="D29" s="340"/>
      <c r="E29" s="409" t="s">
        <v>999</v>
      </c>
      <c r="F29" s="314">
        <v>0</v>
      </c>
      <c r="G29" s="410"/>
      <c r="H29" s="411"/>
      <c r="I29" s="411"/>
      <c r="J29" s="411"/>
      <c r="K29" s="411"/>
      <c r="L29" s="411"/>
      <c r="M29" s="411"/>
      <c r="N29" s="412"/>
      <c r="O29" s="340"/>
    </row>
    <row r="30" spans="2:22" s="372" customFormat="1" ht="15.75" thickBot="1">
      <c r="D30" s="340"/>
      <c r="E30" s="377" t="s">
        <v>997</v>
      </c>
      <c r="F30" s="13">
        <v>0</v>
      </c>
      <c r="G30" s="793"/>
      <c r="H30" s="794"/>
      <c r="I30" s="794"/>
      <c r="J30" s="794"/>
      <c r="K30" s="794"/>
      <c r="L30" s="794"/>
      <c r="M30" s="794"/>
      <c r="N30" s="795"/>
      <c r="O30" s="340"/>
    </row>
    <row r="31" spans="2:22" ht="16.5" thickBot="1">
      <c r="B31" s="413"/>
      <c r="C31" s="406"/>
      <c r="D31" s="340"/>
      <c r="E31" s="378" t="s">
        <v>960</v>
      </c>
      <c r="F31" s="379"/>
      <c r="G31" s="414">
        <f>water!E164</f>
        <v>115.65557729941293</v>
      </c>
      <c r="H31" s="414">
        <f>water!F164</f>
        <v>116.0841070453304</v>
      </c>
      <c r="I31" s="414">
        <f>water!G164</f>
        <v>137.84159885493148</v>
      </c>
      <c r="J31" s="414">
        <f>water!H164</f>
        <v>137.24960785826326</v>
      </c>
      <c r="K31" s="415">
        <f>K33*10^6/'General Info'!K11</f>
        <v>133.10274291347352</v>
      </c>
      <c r="L31" s="383"/>
      <c r="M31" s="10">
        <v>150</v>
      </c>
      <c r="N31" s="384" t="s">
        <v>54</v>
      </c>
      <c r="O31" s="340"/>
    </row>
    <row r="32" spans="2:22" outlineLevel="1">
      <c r="B32" s="413"/>
      <c r="C32" s="406"/>
      <c r="D32" s="340"/>
      <c r="E32" s="416" t="s">
        <v>3</v>
      </c>
      <c r="F32" s="417"/>
      <c r="G32" s="418">
        <f>water!E39</f>
        <v>13</v>
      </c>
      <c r="H32" s="418">
        <f>water!F39</f>
        <v>13</v>
      </c>
      <c r="I32" s="418">
        <f>water!G39</f>
        <v>14.79</v>
      </c>
      <c r="J32" s="418">
        <f>water!H39</f>
        <v>14.79</v>
      </c>
      <c r="K32" s="419">
        <f>F28+water!H39</f>
        <v>14.79</v>
      </c>
      <c r="L32" s="390"/>
      <c r="M32" s="420">
        <f>(M33+(SUM(water!H45,water!H47,water!H50)*('ULB target'!M33/'ULB target'!J33)))/(1-(M39/100))</f>
        <v>16.683564094662884</v>
      </c>
      <c r="N32" s="392"/>
      <c r="O32" s="340"/>
    </row>
    <row r="33" spans="2:15" outlineLevel="1">
      <c r="B33" s="413"/>
      <c r="C33" s="406"/>
      <c r="D33" s="340"/>
      <c r="E33" s="393" t="s">
        <v>957</v>
      </c>
      <c r="F33" s="394"/>
      <c r="G33" s="421">
        <f>SUM(water!E48,water!E49)-SUM(water!E45,water!E47)</f>
        <v>8.2740000000000009</v>
      </c>
      <c r="H33" s="421">
        <f>SUM(water!F48,water!F49)-SUM(water!F45,water!F47)</f>
        <v>8.5019999999999989</v>
      </c>
      <c r="I33" s="421">
        <f>SUM(water!G48,water!G49)-SUM(water!G45,water!G47)</f>
        <v>10.400700000000001</v>
      </c>
      <c r="J33" s="421">
        <f>SUM(water!H48,water!H49)-SUM(water!H45,water!H47)</f>
        <v>10.675000000000001</v>
      </c>
      <c r="K33" s="422">
        <f>SUM(water!I48,water!I49)-SUM(water!I45,water!I47)</f>
        <v>10.671379310344827</v>
      </c>
      <c r="L33" s="390"/>
      <c r="M33" s="420">
        <f>M31*'General Info'!K11/10^6</f>
        <v>12.0261</v>
      </c>
      <c r="N33" s="423"/>
      <c r="O33" s="340"/>
    </row>
    <row r="34" spans="2:15" ht="15" customHeight="1" outlineLevel="1" thickBot="1">
      <c r="D34" s="340"/>
      <c r="E34" s="399" t="s">
        <v>1000</v>
      </c>
      <c r="F34" s="400"/>
      <c r="G34" s="424"/>
      <c r="H34" s="425">
        <f>MAX(H32-G32,0)</f>
        <v>0</v>
      </c>
      <c r="I34" s="425">
        <f>MAX(I32-H32,0)</f>
        <v>1.7899999999999991</v>
      </c>
      <c r="J34" s="425">
        <f>MAX(J32-I32,0)</f>
        <v>0</v>
      </c>
      <c r="K34" s="426">
        <f>MAX(K32-J32,0)</f>
        <v>0</v>
      </c>
      <c r="L34" s="427"/>
      <c r="M34" s="428">
        <f>MAX(M32-K32,0)</f>
        <v>1.8935640946628851</v>
      </c>
      <c r="N34" s="429"/>
      <c r="O34" s="340"/>
    </row>
    <row r="35" spans="2:15" ht="15.75" outlineLevel="1" thickBot="1">
      <c r="D35" s="340"/>
      <c r="E35" s="341"/>
      <c r="F35" s="341"/>
      <c r="G35" s="340"/>
      <c r="H35" s="340"/>
      <c r="I35" s="340"/>
      <c r="J35" s="340"/>
      <c r="K35" s="340"/>
      <c r="L35" s="340"/>
      <c r="M35" s="340"/>
      <c r="N35" s="342"/>
      <c r="O35" s="340"/>
    </row>
    <row r="36" spans="2:15" s="372" customFormat="1" ht="30.75" thickBot="1">
      <c r="D36" s="340"/>
      <c r="E36" s="373" t="s">
        <v>1001</v>
      </c>
      <c r="F36" s="374"/>
      <c r="G36" s="374"/>
      <c r="H36" s="374"/>
      <c r="I36" s="374"/>
      <c r="J36" s="374"/>
      <c r="K36" s="374"/>
      <c r="L36" s="374"/>
      <c r="M36" s="374"/>
      <c r="N36" s="375"/>
      <c r="O36" s="340"/>
    </row>
    <row r="37" spans="2:15" s="372" customFormat="1">
      <c r="D37" s="340"/>
      <c r="E37" s="376" t="s">
        <v>958</v>
      </c>
      <c r="F37" s="301">
        <v>0</v>
      </c>
      <c r="G37" s="799"/>
      <c r="H37" s="799"/>
      <c r="I37" s="799"/>
      <c r="J37" s="799"/>
      <c r="K37" s="799"/>
      <c r="L37" s="799"/>
      <c r="M37" s="799"/>
      <c r="N37" s="800"/>
      <c r="O37" s="340"/>
    </row>
    <row r="38" spans="2:15" s="372" customFormat="1" ht="15.75" thickBot="1">
      <c r="D38" s="340"/>
      <c r="E38" s="377" t="s">
        <v>997</v>
      </c>
      <c r="F38" s="303">
        <v>0</v>
      </c>
      <c r="G38" s="793"/>
      <c r="H38" s="794"/>
      <c r="I38" s="794"/>
      <c r="J38" s="794"/>
      <c r="K38" s="794"/>
      <c r="L38" s="794"/>
      <c r="M38" s="794"/>
      <c r="N38" s="795"/>
      <c r="O38" s="340"/>
    </row>
    <row r="39" spans="2:15" ht="16.5" thickBot="1">
      <c r="D39" s="340"/>
      <c r="E39" s="378" t="s">
        <v>1002</v>
      </c>
      <c r="F39" s="379"/>
      <c r="G39" s="430">
        <f>water!E166</f>
        <v>33.138461538461534</v>
      </c>
      <c r="H39" s="431">
        <f>water!F166</f>
        <v>31.530769230769234</v>
      </c>
      <c r="I39" s="431">
        <f>water!G166</f>
        <v>26.459093982420551</v>
      </c>
      <c r="J39" s="431">
        <f>water!H166</f>
        <v>24.137931034482747</v>
      </c>
      <c r="K39" s="432">
        <f>J39-F37</f>
        <v>24.137931034482747</v>
      </c>
      <c r="L39" s="433"/>
      <c r="M39" s="312">
        <v>24</v>
      </c>
      <c r="N39" s="434" t="s">
        <v>54</v>
      </c>
      <c r="O39" s="340"/>
    </row>
    <row r="40" spans="2:15" outlineLevel="1">
      <c r="D40" s="435"/>
      <c r="E40" s="436" t="s">
        <v>48</v>
      </c>
      <c r="F40" s="437"/>
      <c r="G40" s="438">
        <f>water!E39-water!E48</f>
        <v>4.3079999999999998</v>
      </c>
      <c r="H40" s="439">
        <f>water!F39-water!F48</f>
        <v>4.0990000000000002</v>
      </c>
      <c r="I40" s="439">
        <f>water!G39-water!G48</f>
        <v>3.9132999999999996</v>
      </c>
      <c r="J40" s="440">
        <f>water!H39-water!H48</f>
        <v>3.5699999999999985</v>
      </c>
      <c r="K40" s="419">
        <f>K32-water!I48</f>
        <v>3.5699999999999985</v>
      </c>
      <c r="L40" s="390"/>
      <c r="M40" s="420">
        <f>M32*M39/100</f>
        <v>4.0040553827190921</v>
      </c>
      <c r="N40" s="392"/>
      <c r="O40" s="340"/>
    </row>
    <row r="41" spans="2:15" ht="15.75" outlineLevel="1" thickBot="1">
      <c r="D41" s="435"/>
      <c r="E41" s="399" t="s">
        <v>17</v>
      </c>
      <c r="F41" s="400"/>
      <c r="G41" s="441"/>
      <c r="H41" s="442">
        <f>MAX(-(H40-G40),0)</f>
        <v>0.20899999999999963</v>
      </c>
      <c r="I41" s="442">
        <f>MAX(-(I40-H40),0)</f>
        <v>0.18570000000000064</v>
      </c>
      <c r="J41" s="442">
        <f>MAX(-(J40-I40),0)</f>
        <v>0.34330000000000105</v>
      </c>
      <c r="K41" s="443">
        <f>MAX(-(K40-J40),0)</f>
        <v>0</v>
      </c>
      <c r="L41" s="427"/>
      <c r="M41" s="428">
        <f>MAX(-(M40-K40),0)</f>
        <v>0</v>
      </c>
      <c r="N41" s="429"/>
      <c r="O41" s="340"/>
    </row>
    <row r="42" spans="2:15" ht="15.75" outlineLevel="1" thickBot="1">
      <c r="D42" s="340"/>
      <c r="E42" s="444"/>
      <c r="F42" s="444"/>
      <c r="G42" s="445"/>
      <c r="H42" s="446"/>
      <c r="I42" s="447"/>
      <c r="J42" s="446"/>
      <c r="K42" s="445"/>
      <c r="L42" s="445"/>
      <c r="M42" s="407"/>
      <c r="N42" s="448"/>
      <c r="O42" s="340"/>
    </row>
    <row r="43" spans="2:15" ht="32.25" thickBot="1">
      <c r="D43" s="340"/>
      <c r="E43" s="378" t="s">
        <v>1070</v>
      </c>
      <c r="F43" s="379"/>
      <c r="G43" s="414" t="str">
        <f>water!E165</f>
        <v>na</v>
      </c>
      <c r="H43" s="414" t="str">
        <f>water!F165</f>
        <v>na</v>
      </c>
      <c r="I43" s="414" t="str">
        <f>water!G165</f>
        <v>na</v>
      </c>
      <c r="J43" s="414" t="str">
        <f>water!H165</f>
        <v>na</v>
      </c>
      <c r="K43" s="415" t="str">
        <f>J43</f>
        <v>na</v>
      </c>
      <c r="L43" s="449"/>
      <c r="M43" s="14">
        <v>5</v>
      </c>
      <c r="N43" s="384" t="s">
        <v>54</v>
      </c>
      <c r="O43" s="340"/>
    </row>
    <row r="44" spans="2:15" outlineLevel="1">
      <c r="D44" s="340"/>
      <c r="E44" s="450" t="s">
        <v>19</v>
      </c>
      <c r="F44" s="451"/>
      <c r="G44" s="452" t="str">
        <f>water!E65</f>
        <v>na</v>
      </c>
      <c r="H44" s="453" t="str">
        <f>water!F65</f>
        <v>na</v>
      </c>
      <c r="I44" s="453" t="str">
        <f>water!G65</f>
        <v>na</v>
      </c>
      <c r="J44" s="452" t="str">
        <f>water!H65</f>
        <v>na</v>
      </c>
      <c r="K44" s="454" t="str">
        <f>J44</f>
        <v>na</v>
      </c>
      <c r="L44" s="390"/>
      <c r="M44" s="455">
        <f>ROUND(M43*water!I66/100,0)</f>
        <v>911</v>
      </c>
      <c r="N44" s="392"/>
      <c r="O44" s="340"/>
    </row>
    <row r="45" spans="2:15" ht="15" customHeight="1" outlineLevel="1" thickBot="1">
      <c r="D45" s="340"/>
      <c r="E45" s="456" t="s">
        <v>1003</v>
      </c>
      <c r="F45" s="457"/>
      <c r="G45" s="458"/>
      <c r="H45" s="459" t="str">
        <f>IFERROR(MAX(H44-G44,0),"na")</f>
        <v>na</v>
      </c>
      <c r="I45" s="459" t="str">
        <f t="shared" ref="I45:K45" si="0">IFERROR(MAX(I44-H44,0),"na")</f>
        <v>na</v>
      </c>
      <c r="J45" s="460" t="str">
        <f t="shared" si="0"/>
        <v>na</v>
      </c>
      <c r="K45" s="461" t="str">
        <f t="shared" si="0"/>
        <v>na</v>
      </c>
      <c r="L45" s="390"/>
      <c r="M45" s="462">
        <f>IF(K44="na",M44,MAX(M44-K44,0))</f>
        <v>911</v>
      </c>
      <c r="N45" s="392"/>
      <c r="O45" s="340"/>
    </row>
    <row r="46" spans="2:15" ht="29.25" customHeight="1" outlineLevel="1">
      <c r="D46" s="340"/>
      <c r="E46" s="450" t="s">
        <v>1004</v>
      </c>
      <c r="F46" s="451"/>
      <c r="G46" s="463"/>
      <c r="H46" s="463"/>
      <c r="I46" s="463"/>
      <c r="J46" s="464"/>
      <c r="K46" s="465">
        <f>M45*M46/10^5</f>
        <v>45.55</v>
      </c>
      <c r="L46" s="390"/>
      <c r="M46" s="18">
        <v>5000</v>
      </c>
      <c r="N46" s="466" t="s">
        <v>1052</v>
      </c>
      <c r="O46" s="340"/>
    </row>
    <row r="47" spans="2:15" ht="24.75" outlineLevel="1" thickBot="1">
      <c r="D47" s="340"/>
      <c r="E47" s="399" t="s">
        <v>1005</v>
      </c>
      <c r="F47" s="400"/>
      <c r="G47" s="467"/>
      <c r="H47" s="467"/>
      <c r="I47" s="467"/>
      <c r="J47" s="467"/>
      <c r="K47" s="468">
        <f>K46*M47</f>
        <v>22.774999999999999</v>
      </c>
      <c r="L47" s="427"/>
      <c r="M47" s="311">
        <v>0.5</v>
      </c>
      <c r="N47" s="405" t="s">
        <v>51</v>
      </c>
      <c r="O47" s="340"/>
    </row>
    <row r="48" spans="2:15" ht="15.75" outlineLevel="1" thickBot="1">
      <c r="D48" s="340"/>
      <c r="E48" s="444"/>
      <c r="F48" s="444"/>
      <c r="G48" s="445"/>
      <c r="H48" s="446"/>
      <c r="I48" s="447"/>
      <c r="J48" s="446"/>
      <c r="K48" s="445"/>
      <c r="L48" s="445"/>
      <c r="M48" s="407"/>
      <c r="N48" s="448"/>
      <c r="O48" s="340"/>
    </row>
    <row r="49" spans="4:15" s="372" customFormat="1" ht="15.75" thickBot="1">
      <c r="D49" s="340"/>
      <c r="E49" s="373" t="s">
        <v>1071</v>
      </c>
      <c r="F49" s="374"/>
      <c r="G49" s="374"/>
      <c r="H49" s="374"/>
      <c r="I49" s="374"/>
      <c r="J49" s="374"/>
      <c r="K49" s="374"/>
      <c r="L49" s="374"/>
      <c r="M49" s="374"/>
      <c r="N49" s="375"/>
      <c r="O49" s="340"/>
    </row>
    <row r="50" spans="4:15" s="372" customFormat="1">
      <c r="D50" s="340"/>
      <c r="E50" s="408" t="s">
        <v>970</v>
      </c>
      <c r="F50" s="301">
        <v>24</v>
      </c>
      <c r="G50" s="801"/>
      <c r="H50" s="801"/>
      <c r="I50" s="801"/>
      <c r="J50" s="801"/>
      <c r="K50" s="801"/>
      <c r="L50" s="801"/>
      <c r="M50" s="801"/>
      <c r="N50" s="802"/>
      <c r="O50" s="340"/>
    </row>
    <row r="51" spans="4:15" s="372" customFormat="1" ht="15.75" customHeight="1">
      <c r="D51" s="340"/>
      <c r="E51" s="409" t="s">
        <v>1006</v>
      </c>
      <c r="F51" s="314">
        <v>10000</v>
      </c>
      <c r="G51" s="410"/>
      <c r="H51" s="411"/>
      <c r="I51" s="411"/>
      <c r="J51" s="411"/>
      <c r="K51" s="411"/>
      <c r="L51" s="411"/>
      <c r="M51" s="411"/>
      <c r="N51" s="412"/>
      <c r="O51" s="340"/>
    </row>
    <row r="52" spans="4:15" s="372" customFormat="1" ht="15.75" thickBot="1">
      <c r="D52" s="340"/>
      <c r="E52" s="377" t="s">
        <v>997</v>
      </c>
      <c r="F52" s="13">
        <v>4</v>
      </c>
      <c r="G52" s="793"/>
      <c r="H52" s="794"/>
      <c r="I52" s="794"/>
      <c r="J52" s="794"/>
      <c r="K52" s="794"/>
      <c r="L52" s="794"/>
      <c r="M52" s="794"/>
      <c r="N52" s="795"/>
      <c r="O52" s="340"/>
    </row>
    <row r="53" spans="4:15" ht="15.75">
      <c r="D53" s="340"/>
      <c r="E53" s="378" t="s">
        <v>5</v>
      </c>
      <c r="F53" s="379"/>
      <c r="G53" s="469">
        <f>water!E71</f>
        <v>1</v>
      </c>
      <c r="H53" s="470">
        <f>water!F71</f>
        <v>1</v>
      </c>
      <c r="I53" s="470">
        <f>water!G71</f>
        <v>1</v>
      </c>
      <c r="J53" s="470">
        <f>water!H71</f>
        <v>1</v>
      </c>
      <c r="K53" s="471">
        <f>((F50*F51)+(water!H71*('General Info'!K11-F51)))/'General Info'!K11</f>
        <v>3.868760446029885</v>
      </c>
      <c r="L53" s="449"/>
      <c r="M53" s="15">
        <v>24.14</v>
      </c>
      <c r="N53" s="384" t="s">
        <v>54</v>
      </c>
      <c r="O53" s="340"/>
    </row>
    <row r="54" spans="4:15" ht="16.5" thickBot="1">
      <c r="D54" s="340"/>
      <c r="E54" s="472" t="s">
        <v>6</v>
      </c>
      <c r="F54" s="473"/>
      <c r="G54" s="474">
        <f>water!E70</f>
        <v>30</v>
      </c>
      <c r="H54" s="475">
        <f>water!F70</f>
        <v>30</v>
      </c>
      <c r="I54" s="475">
        <f>water!G70</f>
        <v>30</v>
      </c>
      <c r="J54" s="475">
        <f>water!H70</f>
        <v>30</v>
      </c>
      <c r="K54" s="476">
        <f>M54</f>
        <v>30</v>
      </c>
      <c r="L54" s="427"/>
      <c r="M54" s="310">
        <v>30</v>
      </c>
      <c r="N54" s="405" t="s">
        <v>54</v>
      </c>
      <c r="O54" s="340"/>
    </row>
    <row r="55" spans="4:15" ht="15.75" outlineLevel="1" thickBot="1">
      <c r="D55" s="340"/>
      <c r="E55" s="341"/>
      <c r="F55" s="341"/>
      <c r="G55" s="340"/>
      <c r="H55" s="340"/>
      <c r="I55" s="340"/>
      <c r="J55" s="340"/>
      <c r="K55" s="340"/>
      <c r="L55" s="340"/>
      <c r="M55" s="407"/>
      <c r="N55" s="342"/>
      <c r="O55" s="340"/>
    </row>
    <row r="56" spans="4:15" ht="15.75">
      <c r="D56" s="340"/>
      <c r="E56" s="378" t="s">
        <v>9</v>
      </c>
      <c r="F56" s="379"/>
      <c r="G56" s="477">
        <f>water!E168</f>
        <v>70</v>
      </c>
      <c r="H56" s="477">
        <f>water!F168</f>
        <v>70</v>
      </c>
      <c r="I56" s="477">
        <f>water!G168</f>
        <v>83.040935672514621</v>
      </c>
      <c r="J56" s="477">
        <f>water!H168</f>
        <v>85</v>
      </c>
      <c r="K56" s="478">
        <f>J56</f>
        <v>85</v>
      </c>
      <c r="L56" s="449"/>
      <c r="M56" s="18">
        <v>100</v>
      </c>
      <c r="N56" s="384" t="s">
        <v>54</v>
      </c>
      <c r="O56" s="340"/>
    </row>
    <row r="57" spans="4:15" ht="36.75" outlineLevel="1" thickBot="1">
      <c r="D57" s="340"/>
      <c r="E57" s="479" t="s">
        <v>1007</v>
      </c>
      <c r="F57" s="480"/>
      <c r="G57" s="427"/>
      <c r="H57" s="427"/>
      <c r="I57" s="427"/>
      <c r="J57" s="427"/>
      <c r="K57" s="481">
        <f>M57</f>
        <v>0</v>
      </c>
      <c r="L57" s="427"/>
      <c r="M57" s="305">
        <v>0</v>
      </c>
      <c r="N57" s="405" t="s">
        <v>1053</v>
      </c>
      <c r="O57" s="340"/>
    </row>
    <row r="58" spans="4:15" outlineLevel="1">
      <c r="D58" s="340"/>
      <c r="E58" s="797" t="s">
        <v>1072</v>
      </c>
      <c r="F58" s="797"/>
      <c r="G58" s="797"/>
      <c r="H58" s="797"/>
      <c r="I58" s="797"/>
      <c r="J58" s="797"/>
      <c r="K58" s="797"/>
      <c r="L58" s="340"/>
      <c r="M58" s="407"/>
      <c r="N58" s="342"/>
      <c r="O58" s="340"/>
    </row>
    <row r="59" spans="4:15" ht="15.75" outlineLevel="1" thickBot="1">
      <c r="D59" s="340"/>
      <c r="E59" s="341"/>
      <c r="F59" s="341"/>
      <c r="G59" s="340"/>
      <c r="H59" s="340"/>
      <c r="I59" s="340"/>
      <c r="J59" s="340"/>
      <c r="K59" s="340"/>
      <c r="L59" s="340"/>
      <c r="M59" s="407"/>
      <c r="N59" s="342"/>
      <c r="O59" s="340"/>
    </row>
    <row r="60" spans="4:15" ht="15.75">
      <c r="D60" s="340"/>
      <c r="E60" s="378" t="s">
        <v>7</v>
      </c>
      <c r="F60" s="379"/>
      <c r="G60" s="477">
        <f>water!E169</f>
        <v>100</v>
      </c>
      <c r="H60" s="477">
        <f>water!F169</f>
        <v>100</v>
      </c>
      <c r="I60" s="477">
        <f>water!G169</f>
        <v>98.366111951588508</v>
      </c>
      <c r="J60" s="477">
        <f>water!H169</f>
        <v>84.527495995728771</v>
      </c>
      <c r="K60" s="478">
        <f>J60</f>
        <v>84.527495995728771</v>
      </c>
      <c r="L60" s="449"/>
      <c r="M60" s="18">
        <v>100</v>
      </c>
      <c r="N60" s="384" t="s">
        <v>54</v>
      </c>
      <c r="O60" s="340"/>
    </row>
    <row r="61" spans="4:15" ht="24.75" outlineLevel="1" thickBot="1">
      <c r="D61" s="340"/>
      <c r="E61" s="482" t="s">
        <v>1008</v>
      </c>
      <c r="F61" s="480"/>
      <c r="G61" s="427"/>
      <c r="H61" s="427"/>
      <c r="I61" s="427"/>
      <c r="J61" s="427"/>
      <c r="K61" s="481">
        <f>M61</f>
        <v>0</v>
      </c>
      <c r="L61" s="427"/>
      <c r="M61" s="305">
        <v>0</v>
      </c>
      <c r="N61" s="405" t="s">
        <v>1054</v>
      </c>
      <c r="O61" s="340"/>
    </row>
    <row r="62" spans="4:15" ht="15.75" outlineLevel="1" thickBot="1">
      <c r="D62" s="340"/>
      <c r="E62" s="341"/>
      <c r="F62" s="341"/>
      <c r="G62" s="340"/>
      <c r="H62" s="340"/>
      <c r="I62" s="340"/>
      <c r="J62" s="340"/>
      <c r="K62" s="340"/>
      <c r="L62" s="340"/>
      <c r="M62" s="407"/>
      <c r="N62" s="342"/>
      <c r="O62" s="340"/>
    </row>
    <row r="63" spans="4:15" ht="15.75">
      <c r="D63" s="340"/>
      <c r="E63" s="483" t="s">
        <v>975</v>
      </c>
      <c r="F63" s="379"/>
      <c r="G63" s="477">
        <f>water!E170</f>
        <v>35.062073789123971</v>
      </c>
      <c r="H63" s="477">
        <f>water!F170</f>
        <v>54.437505499340077</v>
      </c>
      <c r="I63" s="477">
        <f>water!G170</f>
        <v>40.239950621094046</v>
      </c>
      <c r="J63" s="477">
        <f>water!H170</f>
        <v>40.239950621094046</v>
      </c>
      <c r="K63" s="478">
        <f>K64*100/K65</f>
        <v>45.435177791542067</v>
      </c>
      <c r="L63" s="449"/>
      <c r="M63" s="484"/>
      <c r="N63" s="485"/>
      <c r="O63" s="340"/>
    </row>
    <row r="64" spans="4:15" outlineLevel="1">
      <c r="D64" s="340"/>
      <c r="E64" s="486" t="s">
        <v>1009</v>
      </c>
      <c r="F64" s="487"/>
      <c r="G64" s="453">
        <f>water!E116</f>
        <v>100.26</v>
      </c>
      <c r="H64" s="453">
        <f>water!F116</f>
        <v>98.989159999999998</v>
      </c>
      <c r="I64" s="453">
        <f>water!G116</f>
        <v>104.31</v>
      </c>
      <c r="J64" s="453">
        <f>water!H116</f>
        <v>104.31</v>
      </c>
      <c r="K64" s="465">
        <f>K66*water!I66/10^5</f>
        <v>123.43596246458925</v>
      </c>
      <c r="L64" s="390"/>
      <c r="M64" s="488"/>
      <c r="N64" s="392"/>
      <c r="O64" s="340"/>
    </row>
    <row r="65" spans="4:15" ht="15.75" outlineLevel="1" thickBot="1">
      <c r="D65" s="340"/>
      <c r="E65" s="489" t="s">
        <v>1010</v>
      </c>
      <c r="F65" s="490"/>
      <c r="G65" s="491">
        <f>water!E110</f>
        <v>285.95</v>
      </c>
      <c r="H65" s="491">
        <f>water!F110</f>
        <v>181.84</v>
      </c>
      <c r="I65" s="491">
        <f>water!G110</f>
        <v>259.22000000000003</v>
      </c>
      <c r="J65" s="491">
        <f>water!H110</f>
        <v>259.22000000000003</v>
      </c>
      <c r="K65" s="492">
        <f>((K67*M32*10^3*365/10^5)+(water!I106*'ULB target'!M32)+(water!I107*'ULB target'!M32)+water!H108+(F28*10^3*365*F29/10^5))*(1/(1-(water!I104+water!I109)))</f>
        <v>271.67487498545086</v>
      </c>
      <c r="L65" s="390"/>
      <c r="M65" s="488"/>
      <c r="N65" s="392"/>
      <c r="O65" s="340"/>
    </row>
    <row r="66" spans="4:15" ht="24" outlineLevel="1">
      <c r="D66" s="340"/>
      <c r="E66" s="493" t="s">
        <v>1011</v>
      </c>
      <c r="F66" s="487"/>
      <c r="G66" s="494"/>
      <c r="H66" s="495"/>
      <c r="I66" s="494"/>
      <c r="J66" s="496"/>
      <c r="K66" s="497">
        <f>water!I116*10^5*(1+M66)</f>
        <v>677.17776203966014</v>
      </c>
      <c r="L66" s="390"/>
      <c r="M66" s="309">
        <v>0.1</v>
      </c>
      <c r="N66" s="498" t="s">
        <v>1055</v>
      </c>
      <c r="O66" s="340"/>
    </row>
    <row r="67" spans="4:15" outlineLevel="1">
      <c r="D67" s="340"/>
      <c r="E67" s="499" t="s">
        <v>1012</v>
      </c>
      <c r="F67" s="500"/>
      <c r="G67" s="501">
        <f>water!E201</f>
        <v>3.5135932560590093</v>
      </c>
      <c r="H67" s="501">
        <f>water!F201</f>
        <v>0</v>
      </c>
      <c r="I67" s="501">
        <f>water!G201</f>
        <v>1.2125927366695377</v>
      </c>
      <c r="J67" s="501">
        <f>water!H201</f>
        <v>1.2125927366695377</v>
      </c>
      <c r="K67" s="502">
        <f>IF(M67&gt;0,M67,J67)</f>
        <v>1.2125927366695377</v>
      </c>
      <c r="L67" s="390"/>
      <c r="M67" s="308">
        <v>0</v>
      </c>
      <c r="N67" s="503" t="s">
        <v>54</v>
      </c>
      <c r="O67" s="340"/>
    </row>
    <row r="68" spans="4:15" ht="36.75" outlineLevel="1" thickBot="1">
      <c r="D68" s="340"/>
      <c r="E68" s="504" t="s">
        <v>1013</v>
      </c>
      <c r="F68" s="490"/>
      <c r="G68" s="390"/>
      <c r="H68" s="505"/>
      <c r="I68" s="390"/>
      <c r="J68" s="390"/>
      <c r="K68" s="506">
        <f>M68</f>
        <v>1</v>
      </c>
      <c r="L68" s="390"/>
      <c r="M68" s="305">
        <v>1</v>
      </c>
      <c r="N68" s="466" t="s">
        <v>1056</v>
      </c>
      <c r="O68" s="340"/>
    </row>
    <row r="69" spans="4:15" ht="15.75" outlineLevel="1" thickBot="1">
      <c r="D69" s="340"/>
      <c r="E69" s="507" t="s">
        <v>1014</v>
      </c>
      <c r="F69" s="508"/>
      <c r="G69" s="509"/>
      <c r="H69" s="510"/>
      <c r="I69" s="510"/>
      <c r="J69" s="510"/>
      <c r="K69" s="511">
        <f>(J67-K67)*M32*10^3*365/10^5</f>
        <v>0</v>
      </c>
      <c r="L69" s="427"/>
      <c r="M69" s="427"/>
      <c r="N69" s="429"/>
      <c r="O69" s="340"/>
    </row>
    <row r="70" spans="4:15" ht="15.75" outlineLevel="1" thickBot="1">
      <c r="D70" s="340"/>
      <c r="E70" s="341"/>
      <c r="F70" s="341"/>
      <c r="G70" s="340"/>
      <c r="H70" s="340"/>
      <c r="I70" s="340"/>
      <c r="J70" s="340"/>
      <c r="K70" s="340"/>
      <c r="L70" s="340"/>
      <c r="M70" s="407"/>
      <c r="N70" s="342"/>
      <c r="O70" s="340"/>
    </row>
    <row r="71" spans="4:15" ht="16.5" thickBot="1">
      <c r="D71" s="340"/>
      <c r="E71" s="483" t="s">
        <v>10</v>
      </c>
      <c r="F71" s="379"/>
      <c r="G71" s="477">
        <f>water!E171</f>
        <v>54.498304408537798</v>
      </c>
      <c r="H71" s="477">
        <f>water!F171</f>
        <v>63.431187818949063</v>
      </c>
      <c r="I71" s="477">
        <f>water!G171</f>
        <v>70.204199022145531</v>
      </c>
      <c r="J71" s="477">
        <f>water!H171</f>
        <v>70.204199022145531</v>
      </c>
      <c r="K71" s="478">
        <f>J71</f>
        <v>70.204199022145531</v>
      </c>
      <c r="L71" s="449"/>
      <c r="M71" s="14">
        <v>80</v>
      </c>
      <c r="N71" s="384" t="s">
        <v>54</v>
      </c>
      <c r="O71" s="340"/>
    </row>
    <row r="72" spans="4:15" ht="15.75" outlineLevel="1" thickBot="1">
      <c r="D72" s="340"/>
      <c r="E72" s="486" t="s">
        <v>1015</v>
      </c>
      <c r="F72" s="490"/>
      <c r="G72" s="491">
        <f>water!E122</f>
        <v>54.64</v>
      </c>
      <c r="H72" s="491">
        <f>water!F122</f>
        <v>62.79</v>
      </c>
      <c r="I72" s="491">
        <f>water!G122</f>
        <v>73.23</v>
      </c>
      <c r="J72" s="491">
        <f>water!H122</f>
        <v>73.23</v>
      </c>
      <c r="K72" s="512">
        <f>K66*water!I66*K71/100/10^5</f>
        <v>86.657228753541091</v>
      </c>
      <c r="L72" s="390"/>
      <c r="M72" s="455">
        <f>water!I116*water!I66*(1+'ULB target'!M66)*M71/100</f>
        <v>98.748769971671408</v>
      </c>
      <c r="N72" s="392"/>
      <c r="O72" s="340"/>
    </row>
    <row r="73" spans="4:15" ht="27" customHeight="1" outlineLevel="1" thickBot="1">
      <c r="D73" s="340"/>
      <c r="E73" s="479" t="s">
        <v>1016</v>
      </c>
      <c r="F73" s="508"/>
      <c r="G73" s="513"/>
      <c r="H73" s="513"/>
      <c r="I73" s="513"/>
      <c r="J73" s="513"/>
      <c r="K73" s="514"/>
      <c r="L73" s="427"/>
      <c r="M73" s="14">
        <v>0</v>
      </c>
      <c r="N73" s="515" t="s">
        <v>1057</v>
      </c>
      <c r="O73" s="340"/>
    </row>
    <row r="74" spans="4:15" outlineLevel="1">
      <c r="D74" s="340"/>
      <c r="E74" s="797" t="s">
        <v>1072</v>
      </c>
      <c r="F74" s="797"/>
      <c r="G74" s="797"/>
      <c r="H74" s="797"/>
      <c r="I74" s="797"/>
      <c r="J74" s="797"/>
      <c r="K74" s="797"/>
      <c r="L74" s="340"/>
      <c r="M74" s="407"/>
      <c r="N74" s="342"/>
      <c r="O74" s="340"/>
    </row>
    <row r="75" spans="4:15" ht="15.75" outlineLevel="1" thickBot="1">
      <c r="D75" s="340"/>
      <c r="E75" s="341"/>
      <c r="F75" s="341"/>
      <c r="G75" s="340"/>
      <c r="H75" s="340"/>
      <c r="I75" s="340"/>
      <c r="J75" s="340"/>
      <c r="K75" s="340"/>
      <c r="L75" s="340"/>
      <c r="M75" s="407"/>
      <c r="N75" s="342"/>
      <c r="O75" s="340"/>
    </row>
    <row r="76" spans="4:15" ht="15.75" outlineLevel="1">
      <c r="D76" s="340"/>
      <c r="E76" s="516" t="s">
        <v>1017</v>
      </c>
      <c r="F76" s="517"/>
      <c r="G76" s="518">
        <f>'Equity Related Information'!E186</f>
        <v>72</v>
      </c>
      <c r="H76" s="518">
        <f>'Equity Related Information'!F186</f>
        <v>4</v>
      </c>
      <c r="I76" s="518">
        <f>'Equity Related Information'!G186</f>
        <v>347.29</v>
      </c>
      <c r="J76" s="518">
        <f>'Equity Related Information'!H186</f>
        <v>347.29</v>
      </c>
      <c r="K76" s="519"/>
      <c r="L76" s="519"/>
      <c r="M76" s="519"/>
      <c r="N76" s="519"/>
      <c r="O76" s="340"/>
    </row>
    <row r="77" spans="4:15" ht="50.25" customHeight="1" outlineLevel="1">
      <c r="D77" s="340"/>
      <c r="E77" s="814" t="s">
        <v>1018</v>
      </c>
      <c r="F77" s="520"/>
      <c r="G77" s="812" t="s">
        <v>1173</v>
      </c>
      <c r="H77" s="813"/>
      <c r="I77" s="813" t="s">
        <v>79</v>
      </c>
      <c r="J77" s="813"/>
      <c r="K77" s="521" t="s">
        <v>80</v>
      </c>
      <c r="L77" s="522"/>
      <c r="M77" s="822">
        <v>10</v>
      </c>
      <c r="N77" s="824" t="s">
        <v>1058</v>
      </c>
      <c r="O77" s="340"/>
    </row>
    <row r="78" spans="4:15" ht="19.5" outlineLevel="1" thickBot="1">
      <c r="D78" s="340"/>
      <c r="E78" s="815"/>
      <c r="F78" s="523"/>
      <c r="G78" s="798">
        <f>(F21+F30+K46+F38+F52+K57+K61+K68+K73)</f>
        <v>52.55</v>
      </c>
      <c r="H78" s="798"/>
      <c r="I78" s="798">
        <f>MAX((K25+K47+K69+MAX(K72-J72,0)),0)</f>
        <v>43.50772875354108</v>
      </c>
      <c r="J78" s="798"/>
      <c r="K78" s="524">
        <f>MAX(G78-(I78+M77),0)</f>
        <v>0</v>
      </c>
      <c r="L78" s="525"/>
      <c r="M78" s="823"/>
      <c r="N78" s="825"/>
      <c r="O78" s="340"/>
    </row>
    <row r="79" spans="4:15" outlineLevel="1">
      <c r="D79" s="340"/>
      <c r="E79" s="341"/>
      <c r="F79" s="341"/>
      <c r="G79" s="340"/>
      <c r="H79" s="340"/>
      <c r="I79" s="340"/>
      <c r="J79" s="340"/>
      <c r="K79" s="340"/>
      <c r="L79" s="340"/>
      <c r="M79" s="340"/>
      <c r="N79" s="342"/>
      <c r="O79" s="340"/>
    </row>
    <row r="80" spans="4:15" ht="15.75" thickBot="1">
      <c r="D80" s="340"/>
      <c r="E80" s="341"/>
      <c r="F80" s="341"/>
      <c r="G80" s="340"/>
      <c r="H80" s="340"/>
      <c r="I80" s="340"/>
      <c r="J80" s="340"/>
      <c r="K80" s="340"/>
      <c r="L80" s="340"/>
      <c r="M80" s="340"/>
      <c r="N80" s="342"/>
      <c r="O80" s="340"/>
    </row>
    <row r="81" spans="4:15" ht="27" thickBot="1">
      <c r="D81" s="340"/>
      <c r="E81" s="803" t="s">
        <v>993</v>
      </c>
      <c r="F81" s="804"/>
      <c r="G81" s="804"/>
      <c r="H81" s="804"/>
      <c r="I81" s="804"/>
      <c r="J81" s="804"/>
      <c r="K81" s="804"/>
      <c r="L81" s="804"/>
      <c r="M81" s="804"/>
      <c r="N81" s="805"/>
      <c r="O81" s="340"/>
    </row>
    <row r="82" spans="4:15" ht="51.75" customHeight="1" thickBot="1">
      <c r="D82" s="340"/>
      <c r="E82" s="368" t="s">
        <v>15</v>
      </c>
      <c r="F82" s="369" t="s">
        <v>973</v>
      </c>
      <c r="G82" s="370" t="s">
        <v>11</v>
      </c>
      <c r="H82" s="370" t="s">
        <v>12</v>
      </c>
      <c r="I82" s="370" t="s">
        <v>14</v>
      </c>
      <c r="J82" s="370" t="s">
        <v>50</v>
      </c>
      <c r="K82" s="371" t="s">
        <v>985</v>
      </c>
      <c r="L82" s="806" t="s">
        <v>954</v>
      </c>
      <c r="M82" s="806"/>
      <c r="N82" s="807"/>
      <c r="O82" s="340"/>
    </row>
    <row r="83" spans="4:15" ht="16.5" thickBot="1">
      <c r="D83" s="340"/>
      <c r="E83" s="378" t="s">
        <v>979</v>
      </c>
      <c r="F83" s="379"/>
      <c r="G83" s="477">
        <f>sewerage!E131</f>
        <v>98.647298439781721</v>
      </c>
      <c r="H83" s="477">
        <f>sewerage!F131</f>
        <v>98.684800478254374</v>
      </c>
      <c r="I83" s="477">
        <f>sewerage!G131</f>
        <v>90.809313037532831</v>
      </c>
      <c r="J83" s="477">
        <f>sewerage!H131</f>
        <v>90.402802101576185</v>
      </c>
      <c r="K83" s="478">
        <f>K84*100/'General Info'!K18</f>
        <v>87.992636028910411</v>
      </c>
      <c r="L83" s="449"/>
      <c r="M83" s="16">
        <v>89</v>
      </c>
      <c r="N83" s="384" t="s">
        <v>54</v>
      </c>
      <c r="O83" s="340"/>
    </row>
    <row r="84" spans="4:15" outlineLevel="1">
      <c r="D84" s="340"/>
      <c r="E84" s="526" t="s">
        <v>1020</v>
      </c>
      <c r="F84" s="527"/>
      <c r="G84" s="452">
        <f>sewerage!E10</f>
        <v>25670</v>
      </c>
      <c r="H84" s="452">
        <f>sewerage!F10</f>
        <v>26412</v>
      </c>
      <c r="I84" s="452">
        <f>sewerage!G10</f>
        <v>25235</v>
      </c>
      <c r="J84" s="452">
        <f>sewerage!H10</f>
        <v>25810</v>
      </c>
      <c r="K84" s="465">
        <f>sewerage!H10</f>
        <v>25810</v>
      </c>
      <c r="L84" s="390"/>
      <c r="M84" s="528">
        <f>M83*'General Info'!K18/100</f>
        <v>26105.48</v>
      </c>
      <c r="N84" s="392"/>
      <c r="O84" s="340"/>
    </row>
    <row r="85" spans="4:15" ht="25.5" outlineLevel="1">
      <c r="D85" s="340"/>
      <c r="E85" s="529" t="s">
        <v>1019</v>
      </c>
      <c r="F85" s="530"/>
      <c r="G85" s="531"/>
      <c r="H85" s="532">
        <f>MAX(H84-G84,0)</f>
        <v>742</v>
      </c>
      <c r="I85" s="532">
        <f>MAX(I84-H84,0)</f>
        <v>0</v>
      </c>
      <c r="J85" s="532">
        <f>MAX(J84-I84,0)</f>
        <v>575</v>
      </c>
      <c r="K85" s="533">
        <f>MAX(K84-J84,0)</f>
        <v>0</v>
      </c>
      <c r="L85" s="390"/>
      <c r="M85" s="534">
        <f>MAX(M84-K84,0)</f>
        <v>295.47999999999956</v>
      </c>
      <c r="N85" s="392"/>
      <c r="O85" s="340"/>
    </row>
    <row r="86" spans="4:15" ht="24" outlineLevel="1">
      <c r="D86" s="340"/>
      <c r="E86" s="493" t="s">
        <v>53</v>
      </c>
      <c r="F86" s="535"/>
      <c r="G86" s="536">
        <f>sewerage!E8/sewerage!E10</f>
        <v>1</v>
      </c>
      <c r="H86" s="536">
        <f>sewerage!F8/sewerage!F10</f>
        <v>1</v>
      </c>
      <c r="I86" s="536">
        <f>sewerage!G8/sewerage!G10</f>
        <v>0.99108381216564301</v>
      </c>
      <c r="J86" s="536">
        <f>sewerage!H8/sewerage!H10</f>
        <v>1</v>
      </c>
      <c r="K86" s="537">
        <f>IF(M86&gt;0,M86,J86)</f>
        <v>0.5</v>
      </c>
      <c r="L86" s="390"/>
      <c r="M86" s="17">
        <v>0.5</v>
      </c>
      <c r="N86" s="466" t="s">
        <v>55</v>
      </c>
      <c r="O86" s="340"/>
    </row>
    <row r="87" spans="4:15" ht="24" outlineLevel="1">
      <c r="D87" s="340"/>
      <c r="E87" s="538" t="s">
        <v>1021</v>
      </c>
      <c r="F87" s="539"/>
      <c r="G87" s="540"/>
      <c r="H87" s="540"/>
      <c r="I87" s="540"/>
      <c r="J87" s="540"/>
      <c r="K87" s="541">
        <f>M87*(M86*M85)/10^5</f>
        <v>14.77399999999998</v>
      </c>
      <c r="L87" s="390"/>
      <c r="M87" s="307">
        <v>10000</v>
      </c>
      <c r="N87" s="466" t="s">
        <v>1059</v>
      </c>
      <c r="O87" s="340"/>
    </row>
    <row r="88" spans="4:15" ht="24" outlineLevel="1">
      <c r="D88" s="340"/>
      <c r="E88" s="504" t="s">
        <v>1022</v>
      </c>
      <c r="F88" s="539"/>
      <c r="G88" s="540"/>
      <c r="H88" s="540"/>
      <c r="I88" s="540"/>
      <c r="J88" s="540"/>
      <c r="K88" s="541">
        <f>M88*$K$87</f>
        <v>7.3869999999999898</v>
      </c>
      <c r="L88" s="390"/>
      <c r="M88" s="306">
        <v>0.5</v>
      </c>
      <c r="N88" s="466" t="s">
        <v>49</v>
      </c>
      <c r="O88" s="340"/>
    </row>
    <row r="89" spans="4:15" ht="24.75" outlineLevel="1" thickBot="1">
      <c r="D89" s="340"/>
      <c r="E89" s="542" t="s">
        <v>1023</v>
      </c>
      <c r="F89" s="480"/>
      <c r="G89" s="543"/>
      <c r="H89" s="543"/>
      <c r="I89" s="543"/>
      <c r="J89" s="543"/>
      <c r="K89" s="544">
        <f>ROUNDUP((((100%-M86)*M85)/(35/'General Info'!H12))*M89/10^5,0)</f>
        <v>5</v>
      </c>
      <c r="L89" s="427"/>
      <c r="M89" s="305">
        <v>25000</v>
      </c>
      <c r="N89" s="515" t="s">
        <v>1060</v>
      </c>
      <c r="O89" s="340"/>
    </row>
    <row r="90" spans="4:15" ht="15.75" outlineLevel="1" thickBot="1">
      <c r="D90" s="340"/>
      <c r="E90" s="341"/>
      <c r="F90" s="341"/>
      <c r="G90" s="340"/>
      <c r="H90" s="340"/>
      <c r="I90" s="340"/>
      <c r="J90" s="340"/>
      <c r="K90" s="340"/>
      <c r="L90" s="340"/>
      <c r="M90" s="407"/>
      <c r="N90" s="342"/>
      <c r="O90" s="340"/>
    </row>
    <row r="91" spans="4:15" s="372" customFormat="1">
      <c r="D91" s="340"/>
      <c r="E91" s="373" t="s">
        <v>971</v>
      </c>
      <c r="F91" s="374"/>
      <c r="G91" s="374"/>
      <c r="H91" s="374"/>
      <c r="I91" s="374"/>
      <c r="J91" s="374"/>
      <c r="K91" s="374"/>
      <c r="L91" s="374"/>
      <c r="M91" s="374"/>
      <c r="N91" s="375"/>
      <c r="O91" s="340"/>
    </row>
    <row r="92" spans="4:15" s="372" customFormat="1">
      <c r="D92" s="340"/>
      <c r="E92" s="376" t="s">
        <v>1024</v>
      </c>
      <c r="F92" s="318">
        <v>1000</v>
      </c>
      <c r="G92" s="799"/>
      <c r="H92" s="799"/>
      <c r="I92" s="799"/>
      <c r="J92" s="799"/>
      <c r="K92" s="799"/>
      <c r="L92" s="799"/>
      <c r="M92" s="799"/>
      <c r="N92" s="800"/>
      <c r="O92" s="340"/>
    </row>
    <row r="93" spans="4:15" s="372" customFormat="1" ht="15.75" thickBot="1">
      <c r="D93" s="340"/>
      <c r="E93" s="377" t="s">
        <v>997</v>
      </c>
      <c r="F93" s="303">
        <v>4</v>
      </c>
      <c r="G93" s="793"/>
      <c r="H93" s="794"/>
      <c r="I93" s="794"/>
      <c r="J93" s="794"/>
      <c r="K93" s="794"/>
      <c r="L93" s="794"/>
      <c r="M93" s="794"/>
      <c r="N93" s="795"/>
      <c r="O93" s="340"/>
    </row>
    <row r="94" spans="4:15" ht="16.5" thickBot="1">
      <c r="D94" s="340"/>
      <c r="E94" s="378" t="s">
        <v>980</v>
      </c>
      <c r="F94" s="379"/>
      <c r="G94" s="477">
        <f>sewerage!E132</f>
        <v>26.961801552532471</v>
      </c>
      <c r="H94" s="477">
        <f>sewerage!F132</f>
        <v>26.214317740248095</v>
      </c>
      <c r="I94" s="477">
        <f>sewerage!G132</f>
        <v>26.010291842095793</v>
      </c>
      <c r="J94" s="477">
        <f>sewerage!H132</f>
        <v>50.500875656742558</v>
      </c>
      <c r="K94" s="415">
        <f>K95*100/'General Info'!K18</f>
        <v>52.563752897858997</v>
      </c>
      <c r="L94" s="449"/>
      <c r="M94" s="14">
        <v>53</v>
      </c>
      <c r="N94" s="384" t="s">
        <v>54</v>
      </c>
      <c r="O94" s="340"/>
    </row>
    <row r="95" spans="4:15" outlineLevel="1">
      <c r="D95" s="340"/>
      <c r="E95" s="526" t="s">
        <v>28</v>
      </c>
      <c r="F95" s="527"/>
      <c r="G95" s="452">
        <f>sewerage!E13</f>
        <v>7016</v>
      </c>
      <c r="H95" s="452">
        <f>sewerage!F13</f>
        <v>7016</v>
      </c>
      <c r="I95" s="452">
        <f>sewerage!G13</f>
        <v>7228</v>
      </c>
      <c r="J95" s="452">
        <f>sewerage!H13</f>
        <v>14418</v>
      </c>
      <c r="K95" s="465">
        <f>F92+sewerage!H13</f>
        <v>15418</v>
      </c>
      <c r="L95" s="390"/>
      <c r="M95" s="528">
        <f>M94*'General Info'!K18/100</f>
        <v>15545.96</v>
      </c>
      <c r="N95" s="392"/>
      <c r="O95" s="340"/>
    </row>
    <row r="96" spans="4:15" outlineLevel="1">
      <c r="D96" s="340"/>
      <c r="E96" s="529" t="s">
        <v>1025</v>
      </c>
      <c r="F96" s="530"/>
      <c r="G96" s="531"/>
      <c r="H96" s="532">
        <f>IFERROR(MAX(H95-G95,0),"NA")</f>
        <v>0</v>
      </c>
      <c r="I96" s="532">
        <f>IFERROR(MAX(I95-H95,0),"NA")</f>
        <v>212</v>
      </c>
      <c r="J96" s="532">
        <f>IFERROR(MAX(J95-I95,0),"NA")</f>
        <v>7190</v>
      </c>
      <c r="K96" s="533">
        <f>IFERROR(MAX(K95-J95,0),"NA")</f>
        <v>1000</v>
      </c>
      <c r="L96" s="390"/>
      <c r="M96" s="534">
        <f>IFERROR(MAX(M95-K95,0),"NA")</f>
        <v>127.95999999999913</v>
      </c>
      <c r="N96" s="392"/>
      <c r="O96" s="340"/>
    </row>
    <row r="97" spans="4:15" ht="24.75" outlineLevel="1" thickBot="1">
      <c r="D97" s="340"/>
      <c r="E97" s="507" t="s">
        <v>998</v>
      </c>
      <c r="F97" s="508"/>
      <c r="G97" s="543"/>
      <c r="H97" s="543"/>
      <c r="I97" s="543"/>
      <c r="J97" s="543"/>
      <c r="K97" s="545">
        <f>IFERROR(M97*(K96+M96)/10^5,0)</f>
        <v>22.559199999999983</v>
      </c>
      <c r="L97" s="427"/>
      <c r="M97" s="293">
        <v>2000</v>
      </c>
      <c r="N97" s="515" t="s">
        <v>1061</v>
      </c>
      <c r="O97" s="340"/>
    </row>
    <row r="98" spans="4:15" ht="15.75" outlineLevel="1" thickBot="1">
      <c r="D98" s="340"/>
      <c r="E98" s="341"/>
      <c r="F98" s="341"/>
      <c r="G98" s="340"/>
      <c r="H98" s="340"/>
      <c r="I98" s="340"/>
      <c r="J98" s="340"/>
      <c r="K98" s="340"/>
      <c r="L98" s="340"/>
      <c r="M98" s="407"/>
      <c r="N98" s="342"/>
      <c r="O98" s="340"/>
    </row>
    <row r="99" spans="4:15" s="372" customFormat="1">
      <c r="D99" s="340"/>
      <c r="E99" s="373" t="s">
        <v>1026</v>
      </c>
      <c r="F99" s="374"/>
      <c r="G99" s="374"/>
      <c r="H99" s="374"/>
      <c r="I99" s="374"/>
      <c r="J99" s="374"/>
      <c r="K99" s="374"/>
      <c r="L99" s="374"/>
      <c r="M99" s="374"/>
      <c r="N99" s="375"/>
      <c r="O99" s="340"/>
    </row>
    <row r="100" spans="4:15" s="372" customFormat="1">
      <c r="D100" s="340"/>
      <c r="E100" s="408" t="s">
        <v>972</v>
      </c>
      <c r="F100" s="318">
        <v>10</v>
      </c>
      <c r="G100" s="801"/>
      <c r="H100" s="801"/>
      <c r="I100" s="801"/>
      <c r="J100" s="801"/>
      <c r="K100" s="801"/>
      <c r="L100" s="801"/>
      <c r="M100" s="801"/>
      <c r="N100" s="802"/>
      <c r="O100" s="340"/>
    </row>
    <row r="101" spans="4:15" s="372" customFormat="1" ht="15.75" customHeight="1">
      <c r="D101" s="340"/>
      <c r="E101" s="409" t="s">
        <v>1067</v>
      </c>
      <c r="F101" s="316">
        <v>4</v>
      </c>
      <c r="G101" s="410"/>
      <c r="H101" s="411"/>
      <c r="I101" s="411"/>
      <c r="J101" s="411"/>
      <c r="K101" s="411"/>
      <c r="L101" s="411"/>
      <c r="M101" s="411"/>
      <c r="N101" s="412"/>
      <c r="O101" s="340"/>
    </row>
    <row r="102" spans="4:15" s="372" customFormat="1" ht="15.75" thickBot="1">
      <c r="D102" s="340"/>
      <c r="E102" s="377" t="s">
        <v>997</v>
      </c>
      <c r="F102" s="303">
        <v>4</v>
      </c>
      <c r="G102" s="793"/>
      <c r="H102" s="794"/>
      <c r="I102" s="794"/>
      <c r="J102" s="794"/>
      <c r="K102" s="794"/>
      <c r="L102" s="794"/>
      <c r="M102" s="794"/>
      <c r="N102" s="795"/>
      <c r="O102" s="340"/>
    </row>
    <row r="103" spans="4:15" ht="16.5" thickBot="1">
      <c r="D103" s="340"/>
      <c r="E103" s="378" t="s">
        <v>981</v>
      </c>
      <c r="F103" s="379"/>
      <c r="G103" s="546">
        <f>sewerage!E133</f>
        <v>3.223865199449794</v>
      </c>
      <c r="H103" s="546">
        <f>sewerage!F133</f>
        <v>3.1487908643081055</v>
      </c>
      <c r="I103" s="546">
        <f>sewerage!G133</f>
        <v>4.0221008696931246</v>
      </c>
      <c r="J103" s="546" t="str">
        <f>sewerage!H133</f>
        <v>na</v>
      </c>
      <c r="K103" s="471">
        <f>IFERROR(K104*100/(0.8*(M33+SUM(water!H45,water!H47,water!H50))),"NA")</f>
        <v>39.663337590531569</v>
      </c>
      <c r="L103" s="449"/>
      <c r="M103" s="14">
        <v>100</v>
      </c>
      <c r="N103" s="384" t="s">
        <v>54</v>
      </c>
      <c r="O103" s="340"/>
    </row>
    <row r="104" spans="4:15" outlineLevel="1">
      <c r="D104" s="340"/>
      <c r="E104" s="526" t="s">
        <v>1027</v>
      </c>
      <c r="F104" s="527"/>
      <c r="G104" s="547">
        <f>sewerage!E36</f>
        <v>0.22500000000000001</v>
      </c>
      <c r="H104" s="547">
        <f>sewerage!F36</f>
        <v>0.22500000000000001</v>
      </c>
      <c r="I104" s="547">
        <f>sewerage!G36</f>
        <v>0.35</v>
      </c>
      <c r="J104" s="547" t="str">
        <f>sewerage!H36</f>
        <v>NA</v>
      </c>
      <c r="K104" s="548">
        <f>SUM(F101,J104)</f>
        <v>4</v>
      </c>
      <c r="L104" s="390"/>
      <c r="M104" s="549">
        <f>M103*0.8*(M33+SUM(water!H45,water!H47,water!H50))/100</f>
        <v>10.08488</v>
      </c>
      <c r="N104" s="392"/>
      <c r="O104" s="340"/>
    </row>
    <row r="105" spans="4:15" ht="26.25" outlineLevel="1" thickBot="1">
      <c r="D105" s="340"/>
      <c r="E105" s="507" t="s">
        <v>1028</v>
      </c>
      <c r="F105" s="508"/>
      <c r="G105" s="550"/>
      <c r="H105" s="551">
        <f>IF(OR(G104="na",H104="na"),"na",MAX(H104-G104,0))</f>
        <v>0</v>
      </c>
      <c r="I105" s="551">
        <f t="shared" ref="I105:K105" si="1">IF(OR(H104="na",I104="na"),"na",MAX(I104-H104,0))</f>
        <v>0.12499999999999997</v>
      </c>
      <c r="J105" s="551" t="str">
        <f t="shared" si="1"/>
        <v>na</v>
      </c>
      <c r="K105" s="552" t="str">
        <f t="shared" si="1"/>
        <v>na</v>
      </c>
      <c r="L105" s="427"/>
      <c r="M105" s="553">
        <f>IF(K104="na",M104,MAX(M104-K104,0))</f>
        <v>6.0848800000000001</v>
      </c>
      <c r="N105" s="429"/>
      <c r="O105" s="340"/>
    </row>
    <row r="106" spans="4:15" ht="15.75" outlineLevel="1" thickBot="1">
      <c r="D106" s="340"/>
      <c r="E106" s="341"/>
      <c r="F106" s="341"/>
      <c r="G106" s="340"/>
      <c r="H106" s="340"/>
      <c r="I106" s="340"/>
      <c r="J106" s="340"/>
      <c r="K106" s="340"/>
      <c r="L106" s="340"/>
      <c r="M106" s="407"/>
      <c r="N106" s="342"/>
      <c r="O106" s="340"/>
    </row>
    <row r="107" spans="4:15" ht="16.5" thickBot="1">
      <c r="D107" s="340"/>
      <c r="E107" s="378" t="s">
        <v>982</v>
      </c>
      <c r="F107" s="379"/>
      <c r="G107" s="546" t="str">
        <f>sewerage!E134</f>
        <v>na</v>
      </c>
      <c r="H107" s="546" t="str">
        <f>sewerage!F134</f>
        <v>na</v>
      </c>
      <c r="I107" s="546" t="str">
        <f>sewerage!G134</f>
        <v>na</v>
      </c>
      <c r="J107" s="546" t="str">
        <f>sewerage!H134</f>
        <v>na</v>
      </c>
      <c r="K107" s="471">
        <f>IFERROR(K108*100/(0.8*(M33+SUM(water!H45,water!H47,water!H50))),"NA")</f>
        <v>99.158343976328922</v>
      </c>
      <c r="L107" s="449"/>
      <c r="M107" s="14">
        <v>100</v>
      </c>
      <c r="N107" s="384" t="s">
        <v>54</v>
      </c>
      <c r="O107" s="340"/>
    </row>
    <row r="108" spans="4:15" outlineLevel="1">
      <c r="D108" s="340"/>
      <c r="E108" s="526" t="s">
        <v>963</v>
      </c>
      <c r="F108" s="527"/>
      <c r="G108" s="547" t="str">
        <f>sewerage!E42</f>
        <v>NA</v>
      </c>
      <c r="H108" s="547" t="str">
        <f>sewerage!F42</f>
        <v>NA</v>
      </c>
      <c r="I108" s="547" t="str">
        <f>sewerage!G42</f>
        <v>NA</v>
      </c>
      <c r="J108" s="547" t="str">
        <f>sewerage!H42</f>
        <v>NA</v>
      </c>
      <c r="K108" s="548">
        <f>SUM(F100,J108)</f>
        <v>10</v>
      </c>
      <c r="L108" s="390"/>
      <c r="M108" s="554">
        <f>M107*(0.8*(M33+SUM(water!H45,water!H47,water!H50)))/100</f>
        <v>10.08488</v>
      </c>
      <c r="N108" s="392"/>
      <c r="O108" s="340"/>
    </row>
    <row r="109" spans="4:15" ht="16.5" customHeight="1" outlineLevel="1" thickBot="1">
      <c r="D109" s="340"/>
      <c r="E109" s="507" t="s">
        <v>1029</v>
      </c>
      <c r="F109" s="508"/>
      <c r="G109" s="550"/>
      <c r="H109" s="551" t="str">
        <f>IFERROR(MAX(H108-G108,0),"NA")</f>
        <v>NA</v>
      </c>
      <c r="I109" s="551" t="str">
        <f t="shared" ref="I109:K109" si="2">IFERROR(MAX(I108-H108,0),"NA")</f>
        <v>NA</v>
      </c>
      <c r="J109" s="551" t="str">
        <f t="shared" si="2"/>
        <v>NA</v>
      </c>
      <c r="K109" s="552" t="str">
        <f t="shared" si="2"/>
        <v>NA</v>
      </c>
      <c r="L109" s="427"/>
      <c r="M109" s="555">
        <f>IF(K108="na",M108,MAX(M108-K108,0))</f>
        <v>8.4880000000000067E-2</v>
      </c>
      <c r="N109" s="429"/>
      <c r="O109" s="340"/>
    </row>
    <row r="110" spans="4:15" ht="16.5" customHeight="1" outlineLevel="1" thickBot="1">
      <c r="D110" s="340"/>
      <c r="E110" s="341"/>
      <c r="F110" s="341"/>
      <c r="G110" s="340"/>
      <c r="H110" s="340"/>
      <c r="I110" s="340"/>
      <c r="J110" s="340"/>
      <c r="K110" s="340"/>
      <c r="L110" s="340"/>
      <c r="M110" s="407"/>
      <c r="N110" s="342"/>
      <c r="O110" s="340"/>
    </row>
    <row r="111" spans="4:15" s="372" customFormat="1">
      <c r="D111" s="340"/>
      <c r="E111" s="556" t="s">
        <v>1068</v>
      </c>
      <c r="F111" s="557"/>
      <c r="G111" s="557"/>
      <c r="H111" s="374"/>
      <c r="I111" s="374"/>
      <c r="J111" s="374"/>
      <c r="K111" s="374"/>
      <c r="L111" s="374"/>
      <c r="M111" s="374"/>
      <c r="N111" s="375"/>
      <c r="O111" s="340"/>
    </row>
    <row r="112" spans="4:15" s="372" customFormat="1">
      <c r="D112" s="340"/>
      <c r="E112" s="408" t="s">
        <v>972</v>
      </c>
      <c r="F112" s="314">
        <v>10</v>
      </c>
      <c r="G112" s="801"/>
      <c r="H112" s="801"/>
      <c r="I112" s="801"/>
      <c r="J112" s="801"/>
      <c r="K112" s="801"/>
      <c r="L112" s="801"/>
      <c r="M112" s="801"/>
      <c r="N112" s="802"/>
      <c r="O112" s="340"/>
    </row>
    <row r="113" spans="4:17" s="372" customFormat="1" ht="15.75" customHeight="1">
      <c r="D113" s="340"/>
      <c r="E113" s="409" t="s">
        <v>1030</v>
      </c>
      <c r="F113" s="316">
        <v>5</v>
      </c>
      <c r="G113" s="410"/>
      <c r="H113" s="411"/>
      <c r="I113" s="411"/>
      <c r="J113" s="411"/>
      <c r="K113" s="411"/>
      <c r="L113" s="411"/>
      <c r="M113" s="411"/>
      <c r="N113" s="412"/>
      <c r="O113" s="340"/>
    </row>
    <row r="114" spans="4:17" s="372" customFormat="1" ht="15.75" thickBot="1">
      <c r="D114" s="340"/>
      <c r="E114" s="377" t="s">
        <v>997</v>
      </c>
      <c r="F114" s="303">
        <v>4</v>
      </c>
      <c r="G114" s="793"/>
      <c r="H114" s="794"/>
      <c r="I114" s="794"/>
      <c r="J114" s="794"/>
      <c r="K114" s="794"/>
      <c r="L114" s="794"/>
      <c r="M114" s="794"/>
      <c r="N114" s="795"/>
      <c r="O114" s="340"/>
    </row>
    <row r="115" spans="4:17" ht="16.5" thickBot="1">
      <c r="D115" s="340"/>
      <c r="E115" s="378" t="s">
        <v>1031</v>
      </c>
      <c r="F115" s="379"/>
      <c r="G115" s="546" t="str">
        <f>sewerage!E135</f>
        <v>na</v>
      </c>
      <c r="H115" s="546" t="str">
        <f>sewerage!F135</f>
        <v>na</v>
      </c>
      <c r="I115" s="546" t="str">
        <f>sewerage!G135</f>
        <v>na</v>
      </c>
      <c r="J115" s="546" t="str">
        <f>sewerage!H135</f>
        <v>na</v>
      </c>
      <c r="K115" s="471">
        <f>IFERROR(K116*100/SUM(F101,sewerage!H47),"NA")</f>
        <v>125</v>
      </c>
      <c r="L115" s="449"/>
      <c r="M115" s="14">
        <v>100</v>
      </c>
      <c r="N115" s="384" t="s">
        <v>54</v>
      </c>
      <c r="O115" s="340"/>
    </row>
    <row r="116" spans="4:17" outlineLevel="1">
      <c r="D116" s="340"/>
      <c r="E116" s="526" t="s">
        <v>1032</v>
      </c>
      <c r="F116" s="527"/>
      <c r="G116" s="547" t="str">
        <f>sewerage!E48</f>
        <v>NA</v>
      </c>
      <c r="H116" s="547" t="str">
        <f>sewerage!F48</f>
        <v>NA</v>
      </c>
      <c r="I116" s="547" t="str">
        <f>sewerage!G48</f>
        <v>NA</v>
      </c>
      <c r="J116" s="547" t="str">
        <f>sewerage!H48</f>
        <v>NA</v>
      </c>
      <c r="K116" s="558">
        <f>SUM(F113,J116)</f>
        <v>5</v>
      </c>
      <c r="L116" s="390"/>
      <c r="M116" s="554" t="str">
        <f>IFERROR(M115*IF(#REF!=2014,SUM(#REF!,sewerage!H47),sewerage!H47)/100,"NA")</f>
        <v>NA</v>
      </c>
      <c r="N116" s="392"/>
      <c r="O116" s="340"/>
    </row>
    <row r="117" spans="4:17" ht="26.25" outlineLevel="1" thickBot="1">
      <c r="D117" s="340"/>
      <c r="E117" s="507" t="s">
        <v>1033</v>
      </c>
      <c r="F117" s="508"/>
      <c r="G117" s="550"/>
      <c r="H117" s="551" t="str">
        <f>IFERROR(MAX(H116-G116,0),"NA")</f>
        <v>NA</v>
      </c>
      <c r="I117" s="551" t="str">
        <f t="shared" ref="I117:K117" si="3">IFERROR(MAX(I116-H116,0),"NA")</f>
        <v>NA</v>
      </c>
      <c r="J117" s="551" t="str">
        <f t="shared" si="3"/>
        <v>NA</v>
      </c>
      <c r="K117" s="552" t="str">
        <f t="shared" si="3"/>
        <v>NA</v>
      </c>
      <c r="L117" s="427"/>
      <c r="M117" s="553" t="str">
        <f>IFERROR(MAX(M116-K116,0),"NA")</f>
        <v>NA</v>
      </c>
      <c r="N117" s="429"/>
      <c r="O117" s="340"/>
      <c r="Q117" s="559"/>
    </row>
    <row r="118" spans="4:17" ht="15.75" outlineLevel="1" thickBot="1">
      <c r="D118" s="340"/>
      <c r="E118" s="341"/>
      <c r="F118" s="341"/>
      <c r="G118" s="340"/>
      <c r="H118" s="340"/>
      <c r="I118" s="340"/>
      <c r="J118" s="340"/>
      <c r="K118" s="340"/>
      <c r="L118" s="340"/>
      <c r="M118" s="407"/>
      <c r="N118" s="342"/>
      <c r="O118" s="340"/>
    </row>
    <row r="119" spans="4:17" ht="15.75">
      <c r="D119" s="340"/>
      <c r="E119" s="378" t="s">
        <v>983</v>
      </c>
      <c r="F119" s="379"/>
      <c r="G119" s="477" t="str">
        <f>sewerage!E136</f>
        <v>na</v>
      </c>
      <c r="H119" s="477" t="str">
        <f>sewerage!F136</f>
        <v>na</v>
      </c>
      <c r="I119" s="477" t="str">
        <f>sewerage!G136</f>
        <v>na</v>
      </c>
      <c r="J119" s="477" t="str">
        <f>sewerage!H136</f>
        <v>na</v>
      </c>
      <c r="K119" s="478" t="str">
        <f>J119</f>
        <v>na</v>
      </c>
      <c r="L119" s="560"/>
      <c r="M119" s="18">
        <v>0</v>
      </c>
      <c r="N119" s="561" t="s">
        <v>54</v>
      </c>
      <c r="O119" s="340"/>
    </row>
    <row r="120" spans="4:17" ht="24.75" outlineLevel="1" thickBot="1">
      <c r="D120" s="340"/>
      <c r="E120" s="479" t="s">
        <v>1034</v>
      </c>
      <c r="F120" s="480"/>
      <c r="G120" s="562"/>
      <c r="H120" s="562"/>
      <c r="I120" s="562"/>
      <c r="J120" s="562"/>
      <c r="K120" s="403">
        <f>M120</f>
        <v>0</v>
      </c>
      <c r="L120" s="427"/>
      <c r="M120" s="305">
        <v>0</v>
      </c>
      <c r="N120" s="563" t="s">
        <v>1174</v>
      </c>
      <c r="O120" s="340"/>
    </row>
    <row r="121" spans="4:17" ht="15.75" outlineLevel="1" thickBot="1">
      <c r="D121" s="340"/>
      <c r="E121" s="341"/>
      <c r="F121" s="341"/>
      <c r="G121" s="340"/>
      <c r="H121" s="340"/>
      <c r="I121" s="340"/>
      <c r="J121" s="340"/>
      <c r="K121" s="340"/>
      <c r="L121" s="340"/>
      <c r="M121" s="407"/>
      <c r="N121" s="342"/>
      <c r="O121" s="340"/>
    </row>
    <row r="122" spans="4:17" ht="15.75">
      <c r="D122" s="340"/>
      <c r="E122" s="378" t="s">
        <v>9</v>
      </c>
      <c r="F122" s="379"/>
      <c r="G122" s="477">
        <f>sewerage!E137</f>
        <v>100</v>
      </c>
      <c r="H122" s="477">
        <f>sewerage!F137</f>
        <v>100</v>
      </c>
      <c r="I122" s="477">
        <f>sewerage!G137</f>
        <v>93.442622950819668</v>
      </c>
      <c r="J122" s="477">
        <f>sewerage!H137</f>
        <v>94.533762057877809</v>
      </c>
      <c r="K122" s="478">
        <f>J122</f>
        <v>94.533762057877809</v>
      </c>
      <c r="L122" s="560"/>
      <c r="M122" s="18">
        <v>100</v>
      </c>
      <c r="N122" s="384" t="s">
        <v>54</v>
      </c>
      <c r="O122" s="340"/>
    </row>
    <row r="123" spans="4:17" ht="36.75" thickBot="1">
      <c r="D123" s="340"/>
      <c r="E123" s="479" t="s">
        <v>1007</v>
      </c>
      <c r="F123" s="480"/>
      <c r="G123" s="564"/>
      <c r="H123" s="564"/>
      <c r="I123" s="564"/>
      <c r="J123" s="565"/>
      <c r="K123" s="566">
        <f>M123</f>
        <v>1</v>
      </c>
      <c r="L123" s="567"/>
      <c r="M123" s="304">
        <v>1</v>
      </c>
      <c r="N123" s="405" t="s">
        <v>1053</v>
      </c>
      <c r="O123" s="340"/>
    </row>
    <row r="124" spans="4:17" outlineLevel="1">
      <c r="D124" s="340"/>
      <c r="E124" s="796" t="s">
        <v>1040</v>
      </c>
      <c r="F124" s="796"/>
      <c r="G124" s="796"/>
      <c r="H124" s="796"/>
      <c r="I124" s="796"/>
      <c r="J124" s="796"/>
      <c r="K124" s="796"/>
      <c r="L124" s="340"/>
      <c r="M124" s="407"/>
      <c r="N124" s="342"/>
      <c r="O124" s="340"/>
    </row>
    <row r="125" spans="4:17" ht="15.75" outlineLevel="1" thickBot="1">
      <c r="D125" s="340"/>
      <c r="E125" s="341"/>
      <c r="F125" s="341"/>
      <c r="G125" s="340"/>
      <c r="H125" s="340"/>
      <c r="I125" s="340"/>
      <c r="J125" s="340"/>
      <c r="K125" s="340"/>
      <c r="L125" s="340"/>
      <c r="M125" s="407"/>
      <c r="N125" s="342"/>
      <c r="O125" s="340"/>
    </row>
    <row r="126" spans="4:17" ht="15.75">
      <c r="D126" s="340"/>
      <c r="E126" s="483" t="s">
        <v>1035</v>
      </c>
      <c r="F126" s="379"/>
      <c r="G126" s="477">
        <f>sewerage!E138</f>
        <v>38.359719698935898</v>
      </c>
      <c r="H126" s="477">
        <f>sewerage!F138</f>
        <v>66</v>
      </c>
      <c r="I126" s="477">
        <f>sewerage!G138</f>
        <v>63.746958637469596</v>
      </c>
      <c r="J126" s="477">
        <f>sewerage!H138</f>
        <v>63.746958637469596</v>
      </c>
      <c r="K126" s="478">
        <f>K127*100/K128</f>
        <v>63.746958637469582</v>
      </c>
      <c r="L126" s="449"/>
      <c r="M126" s="449"/>
      <c r="N126" s="568"/>
      <c r="O126" s="340"/>
    </row>
    <row r="127" spans="4:17" outlineLevel="1">
      <c r="D127" s="340"/>
      <c r="E127" s="526" t="s">
        <v>1036</v>
      </c>
      <c r="F127" s="527"/>
      <c r="G127" s="452">
        <f>sewerage!E75</f>
        <v>14.78</v>
      </c>
      <c r="H127" s="452">
        <f>sewerage!F75</f>
        <v>15.51</v>
      </c>
      <c r="I127" s="452">
        <f>sewerage!G75</f>
        <v>15.72</v>
      </c>
      <c r="J127" s="452">
        <f>sewerage!H75</f>
        <v>15.72</v>
      </c>
      <c r="K127" s="465">
        <f>IF(J95&gt;0,K129*M95,K129*K84)/10^5</f>
        <v>16.949819059508947</v>
      </c>
      <c r="L127" s="390"/>
      <c r="M127" s="390"/>
      <c r="N127" s="392"/>
      <c r="O127" s="340"/>
    </row>
    <row r="128" spans="4:17" outlineLevel="1">
      <c r="D128" s="340"/>
      <c r="E128" s="529" t="s">
        <v>1037</v>
      </c>
      <c r="F128" s="530"/>
      <c r="G128" s="532">
        <f>sewerage!E69</f>
        <v>38.529999999999994</v>
      </c>
      <c r="H128" s="532">
        <f>sewerage!F69</f>
        <v>23.5</v>
      </c>
      <c r="I128" s="532">
        <f>sewerage!G69</f>
        <v>24.659999999999997</v>
      </c>
      <c r="J128" s="532">
        <f>sewerage!H69</f>
        <v>24.659999999999997</v>
      </c>
      <c r="K128" s="533">
        <f>IF(J95&gt;0,(M95*sewerage!I64)+(M95*sewerage!I65)+(M95*sewerage!I66),('ULB target'!M84*sewerage!I64)+('ULB target'!M84*sewerage!I65)+('ULB target'!M84*sewerage!I66))*(1/(1-(sewerage!I63+sewerage!I67+sewerage!I68)))</f>
        <v>26.589219975031213</v>
      </c>
      <c r="L128" s="390"/>
      <c r="M128" s="390"/>
      <c r="N128" s="392"/>
      <c r="O128" s="340"/>
    </row>
    <row r="129" spans="4:17" ht="36.75" outlineLevel="1" thickBot="1">
      <c r="D129" s="340"/>
      <c r="E129" s="482" t="s">
        <v>1038</v>
      </c>
      <c r="F129" s="569"/>
      <c r="G129" s="570"/>
      <c r="H129" s="570"/>
      <c r="I129" s="570"/>
      <c r="J129" s="571"/>
      <c r="K129" s="572">
        <f>IF(sewerage!H13&gt;0,sewerage!H75*10^5/sewerage!H13,sewerage!H75*10^5/sewerage!H8)*(1+M129)</f>
        <v>109.03037869330004</v>
      </c>
      <c r="L129" s="427"/>
      <c r="M129" s="319">
        <v>0</v>
      </c>
      <c r="N129" s="515" t="s">
        <v>241</v>
      </c>
      <c r="O129" s="340"/>
      <c r="Q129" s="573"/>
    </row>
    <row r="130" spans="4:17" ht="15.75" outlineLevel="1" thickBot="1">
      <c r="D130" s="340"/>
      <c r="E130" s="341"/>
      <c r="F130" s="341"/>
      <c r="G130" s="340"/>
      <c r="H130" s="340"/>
      <c r="I130" s="340"/>
      <c r="J130" s="340"/>
      <c r="K130" s="340"/>
      <c r="L130" s="340"/>
      <c r="M130" s="407"/>
      <c r="N130" s="342"/>
      <c r="O130" s="340"/>
    </row>
    <row r="131" spans="4:17" ht="16.5" thickBot="1">
      <c r="D131" s="340"/>
      <c r="E131" s="483" t="s">
        <v>1039</v>
      </c>
      <c r="F131" s="379"/>
      <c r="G131" s="477">
        <f>sewerage!E139</f>
        <v>56.089309878213797</v>
      </c>
      <c r="H131" s="477">
        <f>sewerage!F139</f>
        <v>65.248226950354606</v>
      </c>
      <c r="I131" s="477">
        <f>sewerage!G139</f>
        <v>74.045801526717554</v>
      </c>
      <c r="J131" s="477">
        <f>sewerage!H139</f>
        <v>74.045801526717554</v>
      </c>
      <c r="K131" s="478">
        <f>J131</f>
        <v>74.045801526717554</v>
      </c>
      <c r="L131" s="449"/>
      <c r="M131" s="14">
        <v>80</v>
      </c>
      <c r="N131" s="384" t="s">
        <v>54</v>
      </c>
      <c r="O131" s="340"/>
    </row>
    <row r="132" spans="4:17" outlineLevel="1">
      <c r="D132" s="340"/>
      <c r="E132" s="489" t="s">
        <v>1015</v>
      </c>
      <c r="F132" s="490"/>
      <c r="G132" s="491">
        <f>sewerage!E81</f>
        <v>8.2899999999999991</v>
      </c>
      <c r="H132" s="491">
        <f>sewerage!F81</f>
        <v>10.119999999999999</v>
      </c>
      <c r="I132" s="491">
        <f>sewerage!G81</f>
        <v>11.64</v>
      </c>
      <c r="J132" s="491">
        <f>sewerage!H81</f>
        <v>11.64</v>
      </c>
      <c r="K132" s="512">
        <f>IF(J95&gt;0,M95*K129/10^5,M84*K129/10^5)*K131/100</f>
        <v>12.550629379941737</v>
      </c>
      <c r="L132" s="574"/>
      <c r="M132" s="554">
        <f>IF(J95&gt;0,M95*K129/10^5,M84*K129/10^5)*M131/100</f>
        <v>13.559855247607157</v>
      </c>
      <c r="N132" s="392"/>
      <c r="O132" s="340"/>
    </row>
    <row r="133" spans="4:17" ht="30.75" customHeight="1" outlineLevel="1" thickBot="1">
      <c r="D133" s="340"/>
      <c r="E133" s="482" t="s">
        <v>1016</v>
      </c>
      <c r="F133" s="569"/>
      <c r="G133" s="575"/>
      <c r="H133" s="575"/>
      <c r="I133" s="575"/>
      <c r="J133" s="575"/>
      <c r="K133" s="576">
        <f>M133</f>
        <v>0</v>
      </c>
      <c r="L133" s="427"/>
      <c r="M133" s="293">
        <v>0</v>
      </c>
      <c r="N133" s="515" t="s">
        <v>1057</v>
      </c>
      <c r="O133" s="340"/>
    </row>
    <row r="134" spans="4:17" outlineLevel="1">
      <c r="D134" s="340"/>
      <c r="E134" s="796" t="s">
        <v>1040</v>
      </c>
      <c r="F134" s="796"/>
      <c r="G134" s="796"/>
      <c r="H134" s="796"/>
      <c r="I134" s="796"/>
      <c r="J134" s="796"/>
      <c r="K134" s="796"/>
      <c r="L134" s="340"/>
      <c r="M134" s="340"/>
      <c r="N134" s="342"/>
      <c r="O134" s="340"/>
    </row>
    <row r="135" spans="4:17" ht="15.75" outlineLevel="1" thickBot="1">
      <c r="D135" s="340"/>
      <c r="E135" s="341"/>
      <c r="F135" s="341"/>
      <c r="G135" s="340"/>
      <c r="H135" s="340"/>
      <c r="I135" s="340"/>
      <c r="J135" s="340"/>
      <c r="K135" s="340"/>
      <c r="L135" s="340"/>
      <c r="M135" s="340"/>
      <c r="N135" s="342"/>
      <c r="O135" s="340"/>
    </row>
    <row r="136" spans="4:17" ht="15.75" outlineLevel="1">
      <c r="D136" s="340"/>
      <c r="E136" s="516" t="s">
        <v>1041</v>
      </c>
      <c r="F136" s="517"/>
      <c r="G136" s="577">
        <f>'Equity Related Information'!E187</f>
        <v>33</v>
      </c>
      <c r="H136" s="577" t="str">
        <f>'Equity Related Information'!F187</f>
        <v>ND</v>
      </c>
      <c r="I136" s="577">
        <f>'Equity Related Information'!G187</f>
        <v>11.61</v>
      </c>
      <c r="J136" s="577">
        <f>'Equity Related Information'!H187</f>
        <v>11.61</v>
      </c>
      <c r="K136" s="578"/>
      <c r="L136" s="449"/>
      <c r="M136" s="449"/>
      <c r="N136" s="568"/>
      <c r="O136" s="340"/>
    </row>
    <row r="137" spans="4:17" ht="45" customHeight="1" outlineLevel="1">
      <c r="D137" s="340"/>
      <c r="E137" s="814" t="s">
        <v>1018</v>
      </c>
      <c r="F137" s="520"/>
      <c r="G137" s="812" t="s">
        <v>1173</v>
      </c>
      <c r="H137" s="813"/>
      <c r="I137" s="813" t="s">
        <v>79</v>
      </c>
      <c r="J137" s="813"/>
      <c r="K137" s="521" t="s">
        <v>80</v>
      </c>
      <c r="L137" s="522"/>
      <c r="M137" s="822">
        <v>10</v>
      </c>
      <c r="N137" s="824" t="s">
        <v>1062</v>
      </c>
      <c r="O137" s="340"/>
    </row>
    <row r="138" spans="4:17" ht="19.5" outlineLevel="1" thickBot="1">
      <c r="D138" s="340"/>
      <c r="E138" s="815"/>
      <c r="F138" s="523"/>
      <c r="G138" s="579">
        <f>K87+F93+F102+F114+K120+K123+K133</f>
        <v>27.77399999999998</v>
      </c>
      <c r="H138" s="579"/>
      <c r="I138" s="579">
        <f>MAX((K97+K88+MAX(K132-J132,0)),0)</f>
        <v>30.856829379941708</v>
      </c>
      <c r="J138" s="579"/>
      <c r="K138" s="524">
        <f>MAX(G138-(I138+M137),0)</f>
        <v>0</v>
      </c>
      <c r="L138" s="525"/>
      <c r="M138" s="823"/>
      <c r="N138" s="825"/>
      <c r="O138" s="340"/>
    </row>
    <row r="139" spans="4:17" outlineLevel="1">
      <c r="D139" s="340"/>
      <c r="E139" s="341"/>
      <c r="F139" s="341"/>
      <c r="G139" s="340"/>
      <c r="H139" s="340"/>
      <c r="I139" s="340"/>
      <c r="J139" s="340"/>
      <c r="K139" s="340"/>
      <c r="L139" s="340"/>
      <c r="M139" s="340"/>
      <c r="N139" s="342"/>
      <c r="O139" s="340"/>
    </row>
    <row r="140" spans="4:17" ht="15.75" thickBot="1">
      <c r="D140" s="340"/>
      <c r="E140" s="341"/>
      <c r="F140" s="341"/>
      <c r="G140" s="340"/>
      <c r="H140" s="340"/>
      <c r="I140" s="340"/>
      <c r="J140" s="340"/>
      <c r="K140" s="340"/>
      <c r="L140" s="340"/>
      <c r="M140" s="340"/>
      <c r="N140" s="342"/>
      <c r="O140" s="340"/>
    </row>
    <row r="141" spans="4:17" ht="27" thickBot="1">
      <c r="D141" s="340"/>
      <c r="E141" s="803" t="s">
        <v>102</v>
      </c>
      <c r="F141" s="804"/>
      <c r="G141" s="804"/>
      <c r="H141" s="804"/>
      <c r="I141" s="804"/>
      <c r="J141" s="804"/>
      <c r="K141" s="804"/>
      <c r="L141" s="804"/>
      <c r="M141" s="804"/>
      <c r="N141" s="805"/>
      <c r="O141" s="340"/>
    </row>
    <row r="142" spans="4:17" ht="61.5" customHeight="1" thickBot="1">
      <c r="D142" s="340"/>
      <c r="E142" s="368" t="s">
        <v>15</v>
      </c>
      <c r="F142" s="369" t="s">
        <v>973</v>
      </c>
      <c r="G142" s="370" t="s">
        <v>11</v>
      </c>
      <c r="H142" s="370" t="s">
        <v>12</v>
      </c>
      <c r="I142" s="370" t="s">
        <v>14</v>
      </c>
      <c r="J142" s="370" t="s">
        <v>50</v>
      </c>
      <c r="K142" s="371" t="s">
        <v>985</v>
      </c>
      <c r="L142" s="806" t="s">
        <v>954</v>
      </c>
      <c r="M142" s="806"/>
      <c r="N142" s="807"/>
      <c r="O142" s="340"/>
    </row>
    <row r="143" spans="4:17" ht="16.5" thickBot="1">
      <c r="D143" s="340"/>
      <c r="E143" s="483" t="s">
        <v>984</v>
      </c>
      <c r="F143" s="379"/>
      <c r="G143" s="477">
        <f>swm!E147</f>
        <v>92.588862559241704</v>
      </c>
      <c r="H143" s="477">
        <f>swm!F147</f>
        <v>91.190381218303031</v>
      </c>
      <c r="I143" s="477">
        <f>swm!G147</f>
        <v>93.208949324057244</v>
      </c>
      <c r="J143" s="477">
        <f>swm!H147</f>
        <v>99.730447841657366</v>
      </c>
      <c r="K143" s="478">
        <f>K144*100/('General Info'!K12+'General Info'!K25)</f>
        <v>96.905634962209078</v>
      </c>
      <c r="L143" s="449"/>
      <c r="M143" s="16">
        <v>97</v>
      </c>
      <c r="N143" s="384" t="s">
        <v>54</v>
      </c>
      <c r="O143" s="340"/>
    </row>
    <row r="144" spans="4:17" ht="25.5" outlineLevel="1">
      <c r="D144" s="340"/>
      <c r="E144" s="526" t="s">
        <v>1073</v>
      </c>
      <c r="F144" s="527"/>
      <c r="G144" s="452">
        <f>swm!E12</f>
        <v>15629</v>
      </c>
      <c r="H144" s="452">
        <f>swm!F12</f>
        <v>16003</v>
      </c>
      <c r="I144" s="452">
        <f>swm!G12</f>
        <v>23580</v>
      </c>
      <c r="J144" s="452">
        <f>swm!H12</f>
        <v>25899</v>
      </c>
      <c r="K144" s="580">
        <f>swm!H12</f>
        <v>25899</v>
      </c>
      <c r="L144" s="390"/>
      <c r="M144" s="528">
        <f>M143*('General Info'!K12+'General Info'!K25)/100</f>
        <v>25924.22</v>
      </c>
      <c r="N144" s="581"/>
      <c r="O144" s="340"/>
    </row>
    <row r="145" spans="4:15" ht="15.75" outlineLevel="1" thickBot="1">
      <c r="D145" s="340"/>
      <c r="E145" s="529" t="s">
        <v>1074</v>
      </c>
      <c r="F145" s="582"/>
      <c r="G145" s="583"/>
      <c r="H145" s="584">
        <f>H144-G144</f>
        <v>374</v>
      </c>
      <c r="I145" s="584">
        <f>I144-H144</f>
        <v>7577</v>
      </c>
      <c r="J145" s="584">
        <f>J144-I144</f>
        <v>2319</v>
      </c>
      <c r="K145" s="585">
        <f>K144-J144</f>
        <v>0</v>
      </c>
      <c r="L145" s="390"/>
      <c r="M145" s="586">
        <f>MAX(M144-K144,0)</f>
        <v>25.220000000001164</v>
      </c>
      <c r="N145" s="581"/>
      <c r="O145" s="340"/>
    </row>
    <row r="146" spans="4:15" ht="36.75" outlineLevel="1" thickBot="1">
      <c r="D146" s="340"/>
      <c r="E146" s="482" t="s">
        <v>1075</v>
      </c>
      <c r="F146" s="480"/>
      <c r="G146" s="562"/>
      <c r="H146" s="562"/>
      <c r="I146" s="562"/>
      <c r="J146" s="562"/>
      <c r="K146" s="587">
        <f>M146*M145/10^5</f>
        <v>2.1184800000000979E-2</v>
      </c>
      <c r="L146" s="427"/>
      <c r="M146" s="14">
        <v>84</v>
      </c>
      <c r="N146" s="515" t="s">
        <v>1063</v>
      </c>
      <c r="O146" s="340"/>
    </row>
    <row r="147" spans="4:15" ht="15.75" outlineLevel="1" thickBot="1">
      <c r="D147" s="340"/>
      <c r="E147" s="341"/>
      <c r="F147" s="341"/>
      <c r="G147" s="340"/>
      <c r="H147" s="340"/>
      <c r="I147" s="340"/>
      <c r="J147" s="340"/>
      <c r="K147" s="340"/>
      <c r="L147" s="340"/>
      <c r="M147" s="340"/>
      <c r="N147" s="341"/>
      <c r="O147" s="340"/>
    </row>
    <row r="148" spans="4:15" ht="16.5" thickBot="1">
      <c r="D148" s="340"/>
      <c r="E148" s="378" t="s">
        <v>174</v>
      </c>
      <c r="F148" s="379"/>
      <c r="G148" s="477">
        <f>swm!E148</f>
        <v>95.222222222222229</v>
      </c>
      <c r="H148" s="477">
        <f>swm!F148</f>
        <v>95.222222222222229</v>
      </c>
      <c r="I148" s="477">
        <f>swm!G148</f>
        <v>94.736842105263165</v>
      </c>
      <c r="J148" s="477">
        <f>swm!H148</f>
        <v>94.736842105263165</v>
      </c>
      <c r="K148" s="478">
        <f>K149*100/swm!I23</f>
        <v>94.831207143054073</v>
      </c>
      <c r="L148" s="449"/>
      <c r="M148" s="16">
        <v>95</v>
      </c>
      <c r="N148" s="384" t="s">
        <v>54</v>
      </c>
      <c r="O148" s="340"/>
    </row>
    <row r="149" spans="4:15" ht="25.5" outlineLevel="1">
      <c r="D149" s="340"/>
      <c r="E149" s="526" t="s">
        <v>104</v>
      </c>
      <c r="F149" s="527"/>
      <c r="G149" s="452">
        <f>swm!E27</f>
        <v>428.5</v>
      </c>
      <c r="H149" s="452">
        <f>swm!F27</f>
        <v>428.5</v>
      </c>
      <c r="I149" s="452">
        <f>swm!G27</f>
        <v>540</v>
      </c>
      <c r="J149" s="452">
        <f>swm!H27</f>
        <v>540</v>
      </c>
      <c r="K149" s="580">
        <f>swm!H27+((M144-K144)*swm!I24*30/10^6)</f>
        <v>540.53788071540828</v>
      </c>
      <c r="L149" s="390"/>
      <c r="M149" s="534">
        <f>M148*swm!I23/100</f>
        <v>541.5</v>
      </c>
      <c r="N149" s="581"/>
      <c r="O149" s="340"/>
    </row>
    <row r="150" spans="4:15" ht="26.25" outlineLevel="1" thickBot="1">
      <c r="D150" s="340"/>
      <c r="E150" s="588" t="s">
        <v>105</v>
      </c>
      <c r="F150" s="582"/>
      <c r="G150" s="589"/>
      <c r="H150" s="589">
        <f>H149-G149</f>
        <v>0</v>
      </c>
      <c r="I150" s="589">
        <f>I149-H149</f>
        <v>111.5</v>
      </c>
      <c r="J150" s="589">
        <f>J149-I149</f>
        <v>0</v>
      </c>
      <c r="K150" s="590">
        <f>K149-J149</f>
        <v>0.53788071540827787</v>
      </c>
      <c r="L150" s="390"/>
      <c r="M150" s="586">
        <f>MAX(M149-K149,0)</f>
        <v>0.96211928459172213</v>
      </c>
      <c r="N150" s="581"/>
      <c r="O150" s="340"/>
    </row>
    <row r="151" spans="4:15" ht="24.75" outlineLevel="1" thickBot="1">
      <c r="D151" s="340"/>
      <c r="E151" s="479" t="s">
        <v>1042</v>
      </c>
      <c r="F151" s="480"/>
      <c r="G151" s="562"/>
      <c r="H151" s="562"/>
      <c r="I151" s="562"/>
      <c r="J151" s="562"/>
      <c r="K151" s="403">
        <f>M151</f>
        <v>13</v>
      </c>
      <c r="L151" s="427"/>
      <c r="M151" s="14">
        <v>13</v>
      </c>
      <c r="N151" s="515" t="s">
        <v>1064</v>
      </c>
      <c r="O151" s="340"/>
    </row>
    <row r="152" spans="4:15" ht="15.75" outlineLevel="1" thickBot="1">
      <c r="D152" s="340"/>
      <c r="E152" s="341"/>
      <c r="F152" s="341"/>
      <c r="G152" s="340"/>
      <c r="H152" s="340"/>
      <c r="I152" s="340"/>
      <c r="J152" s="340"/>
      <c r="K152" s="340"/>
      <c r="L152" s="340"/>
      <c r="M152" s="340"/>
      <c r="N152" s="341"/>
      <c r="O152" s="340"/>
    </row>
    <row r="153" spans="4:15" ht="16.5" thickBot="1">
      <c r="D153" s="340"/>
      <c r="E153" s="378" t="s">
        <v>1043</v>
      </c>
      <c r="F153" s="379"/>
      <c r="G153" s="477">
        <f>swm!E149</f>
        <v>0.11682242990654204</v>
      </c>
      <c r="H153" s="477">
        <f>swm!F149</f>
        <v>0.11682242990654204</v>
      </c>
      <c r="I153" s="477">
        <f>swm!G149</f>
        <v>0</v>
      </c>
      <c r="J153" s="477">
        <f>swm!H149</f>
        <v>0</v>
      </c>
      <c r="K153" s="478">
        <f>IFERROR((K154+K155)*100/M149,"NA")</f>
        <v>0</v>
      </c>
      <c r="L153" s="449"/>
      <c r="M153" s="16">
        <v>0</v>
      </c>
      <c r="N153" s="384" t="s">
        <v>54</v>
      </c>
      <c r="O153" s="340"/>
    </row>
    <row r="154" spans="4:15" ht="25.5" outlineLevel="1">
      <c r="D154" s="340"/>
      <c r="E154" s="526" t="s">
        <v>106</v>
      </c>
      <c r="F154" s="527"/>
      <c r="G154" s="452">
        <f>swm!E58</f>
        <v>0.5</v>
      </c>
      <c r="H154" s="452">
        <f>swm!F58</f>
        <v>0.5</v>
      </c>
      <c r="I154" s="452">
        <f>swm!G58</f>
        <v>0</v>
      </c>
      <c r="J154" s="452">
        <f>swm!H58</f>
        <v>0</v>
      </c>
      <c r="K154" s="580">
        <f>swm!H58</f>
        <v>0</v>
      </c>
      <c r="L154" s="390"/>
      <c r="M154" s="586">
        <f>K154</f>
        <v>0</v>
      </c>
      <c r="N154" s="581"/>
      <c r="O154" s="340"/>
    </row>
    <row r="155" spans="4:15" ht="25.5" outlineLevel="1">
      <c r="D155" s="340"/>
      <c r="E155" s="526" t="s">
        <v>1076</v>
      </c>
      <c r="F155" s="527"/>
      <c r="G155" s="452">
        <f>swm!E57</f>
        <v>0</v>
      </c>
      <c r="H155" s="452">
        <f>swm!F57</f>
        <v>0</v>
      </c>
      <c r="I155" s="452">
        <f>swm!G57</f>
        <v>0</v>
      </c>
      <c r="J155" s="452">
        <f>swm!H57</f>
        <v>0</v>
      </c>
      <c r="K155" s="580">
        <f>swm!H57</f>
        <v>0</v>
      </c>
      <c r="L155" s="390"/>
      <c r="M155" s="586">
        <f>MAX(((M153*M149)/100)-M154,0)</f>
        <v>0</v>
      </c>
      <c r="N155" s="581"/>
      <c r="O155" s="340"/>
    </row>
    <row r="156" spans="4:15" ht="25.5" outlineLevel="1">
      <c r="D156" s="340"/>
      <c r="E156" s="526" t="s">
        <v>107</v>
      </c>
      <c r="F156" s="527"/>
      <c r="G156" s="452"/>
      <c r="H156" s="452">
        <f>IFERROR(MAX(H155-G155,0),0)</f>
        <v>0</v>
      </c>
      <c r="I156" s="452">
        <f t="shared" ref="I156:J156" si="4">IFERROR(MAX(I155-H155,0),0)</f>
        <v>0</v>
      </c>
      <c r="J156" s="452">
        <f t="shared" si="4"/>
        <v>0</v>
      </c>
      <c r="K156" s="580">
        <f>IFERROR(MAX(K155-J155,0),0)</f>
        <v>0</v>
      </c>
      <c r="L156" s="390"/>
      <c r="M156" s="586">
        <f>IFERROR(MAX(M155-K155,0),0)</f>
        <v>0</v>
      </c>
      <c r="N156" s="581"/>
      <c r="O156" s="340"/>
    </row>
    <row r="157" spans="4:15" ht="17.25" customHeight="1" outlineLevel="1" thickBot="1">
      <c r="D157" s="340"/>
      <c r="E157" s="504" t="s">
        <v>1077</v>
      </c>
      <c r="F157" s="539"/>
      <c r="G157" s="591"/>
      <c r="H157" s="591"/>
      <c r="I157" s="591"/>
      <c r="J157" s="591"/>
      <c r="K157" s="592"/>
      <c r="L157" s="390"/>
      <c r="M157" s="586">
        <f>ROUND(M156/(swm!I24*30/10^6),0)</f>
        <v>0</v>
      </c>
      <c r="N157" s="581"/>
      <c r="O157" s="340"/>
    </row>
    <row r="158" spans="4:15" ht="40.5" customHeight="1" outlineLevel="1" thickBot="1">
      <c r="D158" s="340"/>
      <c r="E158" s="479" t="s">
        <v>965</v>
      </c>
      <c r="F158" s="480"/>
      <c r="G158" s="562"/>
      <c r="H158" s="593"/>
      <c r="I158" s="594"/>
      <c r="J158" s="593"/>
      <c r="K158" s="403">
        <f>M157*M158/10^5</f>
        <v>0</v>
      </c>
      <c r="L158" s="427"/>
      <c r="M158" s="14">
        <v>100</v>
      </c>
      <c r="N158" s="515" t="s">
        <v>1065</v>
      </c>
      <c r="O158" s="340"/>
    </row>
    <row r="159" spans="4:15" ht="15.75" customHeight="1" outlineLevel="1" thickBot="1">
      <c r="D159" s="340"/>
      <c r="E159" s="341"/>
      <c r="F159" s="341"/>
      <c r="G159" s="340"/>
      <c r="H159" s="340"/>
      <c r="I159" s="340"/>
      <c r="J159" s="340"/>
      <c r="K159" s="340"/>
      <c r="L159" s="340"/>
      <c r="M159" s="340"/>
      <c r="N159" s="341"/>
      <c r="O159" s="340"/>
    </row>
    <row r="160" spans="4:15" s="372" customFormat="1" ht="15.75" thickBot="1">
      <c r="D160" s="340"/>
      <c r="E160" s="373" t="s">
        <v>1044</v>
      </c>
      <c r="F160" s="374"/>
      <c r="G160" s="374"/>
      <c r="H160" s="374"/>
      <c r="I160" s="374"/>
      <c r="J160" s="374"/>
      <c r="K160" s="374"/>
      <c r="L160" s="374"/>
      <c r="M160" s="374"/>
      <c r="N160" s="375"/>
      <c r="O160" s="340"/>
    </row>
    <row r="161" spans="4:15" s="372" customFormat="1">
      <c r="D161" s="340"/>
      <c r="E161" s="408" t="s">
        <v>976</v>
      </c>
      <c r="F161" s="302">
        <v>10</v>
      </c>
      <c r="G161" s="801"/>
      <c r="H161" s="801"/>
      <c r="I161" s="801"/>
      <c r="J161" s="801"/>
      <c r="K161" s="801"/>
      <c r="L161" s="801"/>
      <c r="M161" s="801"/>
      <c r="N161" s="802"/>
      <c r="O161" s="340"/>
    </row>
    <row r="162" spans="4:15" s="372" customFormat="1" ht="15.75" customHeight="1">
      <c r="D162" s="340"/>
      <c r="E162" s="409" t="s">
        <v>977</v>
      </c>
      <c r="F162" s="317">
        <v>5</v>
      </c>
      <c r="G162" s="410"/>
      <c r="H162" s="411"/>
      <c r="I162" s="411"/>
      <c r="J162" s="411"/>
      <c r="K162" s="411"/>
      <c r="L162" s="411"/>
      <c r="M162" s="411"/>
      <c r="N162" s="412"/>
      <c r="O162" s="340"/>
    </row>
    <row r="163" spans="4:15" s="372" customFormat="1" ht="15.75" thickBot="1">
      <c r="D163" s="340"/>
      <c r="E163" s="377" t="s">
        <v>997</v>
      </c>
      <c r="F163" s="303">
        <v>4</v>
      </c>
      <c r="G163" s="793"/>
      <c r="H163" s="794"/>
      <c r="I163" s="794"/>
      <c r="J163" s="794"/>
      <c r="K163" s="794"/>
      <c r="L163" s="794"/>
      <c r="M163" s="794"/>
      <c r="N163" s="795"/>
      <c r="O163" s="340"/>
    </row>
    <row r="164" spans="4:15" ht="16.5" thickBot="1">
      <c r="D164" s="340"/>
      <c r="E164" s="483" t="s">
        <v>1045</v>
      </c>
      <c r="F164" s="379"/>
      <c r="G164" s="477">
        <f>swm!E150</f>
        <v>0.11668611435239205</v>
      </c>
      <c r="H164" s="477">
        <f>swm!F150</f>
        <v>0.11668611435239205</v>
      </c>
      <c r="I164" s="477" t="str">
        <f>swm!G150</f>
        <v>na</v>
      </c>
      <c r="J164" s="477">
        <f>swm!H150</f>
        <v>11.111111111111111</v>
      </c>
      <c r="K164" s="478">
        <f>IFERROR(K165*100/M149,"NA")</f>
        <v>12.003693444136658</v>
      </c>
      <c r="L164" s="449"/>
      <c r="M164" s="16">
        <v>50</v>
      </c>
      <c r="N164" s="384" t="s">
        <v>54</v>
      </c>
      <c r="O164" s="340"/>
    </row>
    <row r="165" spans="4:15" outlineLevel="1">
      <c r="D165" s="340"/>
      <c r="E165" s="526" t="s">
        <v>108</v>
      </c>
      <c r="F165" s="527"/>
      <c r="G165" s="595">
        <f>swm!E76</f>
        <v>0.5</v>
      </c>
      <c r="H165" s="595">
        <f>swm!F76</f>
        <v>0.5</v>
      </c>
      <c r="I165" s="595" t="str">
        <f>swm!G76</f>
        <v>na</v>
      </c>
      <c r="J165" s="595">
        <f>swm!H76</f>
        <v>60</v>
      </c>
      <c r="K165" s="580">
        <f>SUM(F162,J165)</f>
        <v>65</v>
      </c>
      <c r="L165" s="390"/>
      <c r="M165" s="534">
        <f>M164*M149/100</f>
        <v>270.75</v>
      </c>
      <c r="N165" s="581"/>
      <c r="O165" s="340"/>
    </row>
    <row r="166" spans="4:15" ht="26.25" outlineLevel="1" thickBot="1">
      <c r="D166" s="340"/>
      <c r="E166" s="479" t="s">
        <v>1046</v>
      </c>
      <c r="F166" s="480"/>
      <c r="G166" s="596"/>
      <c r="H166" s="596">
        <f>IFERROR(H165-G165,"NA")</f>
        <v>0</v>
      </c>
      <c r="I166" s="596" t="str">
        <f t="shared" ref="I166:J166" si="5">IFERROR(I165-H165,"NA")</f>
        <v>NA</v>
      </c>
      <c r="J166" s="596" t="str">
        <f t="shared" si="5"/>
        <v>NA</v>
      </c>
      <c r="K166" s="597">
        <f>IFERROR(K165-J165,"NA")</f>
        <v>5</v>
      </c>
      <c r="L166" s="427"/>
      <c r="M166" s="598">
        <f>IFERROR(MAX(M165-K165,0),"NA")</f>
        <v>205.75</v>
      </c>
      <c r="N166" s="599"/>
      <c r="O166" s="340"/>
    </row>
    <row r="167" spans="4:15" ht="15.75" outlineLevel="1" thickBot="1">
      <c r="D167" s="340"/>
      <c r="E167" s="341"/>
      <c r="F167" s="341"/>
      <c r="G167" s="340"/>
      <c r="H167" s="340"/>
      <c r="I167" s="340"/>
      <c r="J167" s="340"/>
      <c r="K167" s="340"/>
      <c r="L167" s="340"/>
      <c r="M167" s="340"/>
      <c r="N167" s="341"/>
      <c r="O167" s="340"/>
    </row>
    <row r="168" spans="4:15" s="372" customFormat="1" ht="15.75" thickBot="1">
      <c r="D168" s="340"/>
      <c r="E168" s="373" t="s">
        <v>968</v>
      </c>
      <c r="F168" s="374"/>
      <c r="G168" s="374"/>
      <c r="H168" s="374"/>
      <c r="I168" s="374"/>
      <c r="J168" s="374"/>
      <c r="K168" s="374"/>
      <c r="L168" s="374"/>
      <c r="M168" s="374"/>
      <c r="N168" s="375"/>
      <c r="O168" s="340"/>
    </row>
    <row r="169" spans="4:15" s="372" customFormat="1">
      <c r="D169" s="340"/>
      <c r="E169" s="408" t="s">
        <v>976</v>
      </c>
      <c r="F169" s="301">
        <v>10</v>
      </c>
      <c r="G169" s="801"/>
      <c r="H169" s="801"/>
      <c r="I169" s="801"/>
      <c r="J169" s="801"/>
      <c r="K169" s="801"/>
      <c r="L169" s="801"/>
      <c r="M169" s="801"/>
      <c r="N169" s="802"/>
      <c r="O169" s="340"/>
    </row>
    <row r="170" spans="4:15" s="372" customFormat="1" ht="15.75" customHeight="1">
      <c r="D170" s="340"/>
      <c r="E170" s="409" t="s">
        <v>977</v>
      </c>
      <c r="F170" s="316">
        <v>100</v>
      </c>
      <c r="G170" s="410"/>
      <c r="H170" s="411"/>
      <c r="I170" s="411"/>
      <c r="J170" s="411"/>
      <c r="K170" s="411"/>
      <c r="L170" s="411"/>
      <c r="M170" s="411"/>
      <c r="N170" s="412"/>
      <c r="O170" s="340"/>
    </row>
    <row r="171" spans="4:15" s="372" customFormat="1" ht="15.75" thickBot="1">
      <c r="D171" s="340"/>
      <c r="E171" s="377" t="s">
        <v>997</v>
      </c>
      <c r="F171" s="303">
        <v>4</v>
      </c>
      <c r="G171" s="793"/>
      <c r="H171" s="794"/>
      <c r="I171" s="794"/>
      <c r="J171" s="794"/>
      <c r="K171" s="794"/>
      <c r="L171" s="794"/>
      <c r="M171" s="794"/>
      <c r="N171" s="795"/>
      <c r="O171" s="340"/>
    </row>
    <row r="172" spans="4:15" ht="16.5" thickBot="1">
      <c r="D172" s="340"/>
      <c r="E172" s="378" t="s">
        <v>179</v>
      </c>
      <c r="F172" s="379"/>
      <c r="G172" s="477" t="str">
        <f>swm!E78</f>
        <v>na</v>
      </c>
      <c r="H172" s="477" t="str">
        <f>swm!F78</f>
        <v>na</v>
      </c>
      <c r="I172" s="477" t="str">
        <f>swm!G78</f>
        <v>na</v>
      </c>
      <c r="J172" s="477" t="str">
        <f>swm!H78</f>
        <v>na</v>
      </c>
      <c r="K172" s="478">
        <f>IFERROR(K173*100/(M149-M165),"NA")</f>
        <v>36.934441366574333</v>
      </c>
      <c r="L172" s="449"/>
      <c r="M172" s="16">
        <v>50</v>
      </c>
      <c r="N172" s="384" t="s">
        <v>54</v>
      </c>
      <c r="O172" s="340"/>
    </row>
    <row r="173" spans="4:15" outlineLevel="1">
      <c r="D173" s="340"/>
      <c r="E173" s="526" t="s">
        <v>110</v>
      </c>
      <c r="F173" s="527"/>
      <c r="G173" s="595" t="str">
        <f>swm!E80</f>
        <v>NA</v>
      </c>
      <c r="H173" s="595" t="str">
        <f>swm!F80</f>
        <v>NA</v>
      </c>
      <c r="I173" s="595" t="str">
        <f>swm!G80</f>
        <v>NA</v>
      </c>
      <c r="J173" s="595" t="str">
        <f>swm!H80</f>
        <v>NA</v>
      </c>
      <c r="K173" s="580">
        <f>SUM(F170,J173)</f>
        <v>100</v>
      </c>
      <c r="L173" s="390"/>
      <c r="M173" s="534">
        <f>M172*(M149-M165)/100</f>
        <v>135.375</v>
      </c>
      <c r="N173" s="581"/>
      <c r="O173" s="340"/>
    </row>
    <row r="174" spans="4:15" ht="15.75" outlineLevel="1" thickBot="1">
      <c r="D174" s="340"/>
      <c r="E174" s="507" t="s">
        <v>1047</v>
      </c>
      <c r="F174" s="508"/>
      <c r="G174" s="600"/>
      <c r="H174" s="596" t="str">
        <f>IFERROR(H173-G173,"NA")</f>
        <v>NA</v>
      </c>
      <c r="I174" s="596" t="str">
        <f t="shared" ref="I174:K174" si="6">IFERROR(I173-H173,"NA")</f>
        <v>NA</v>
      </c>
      <c r="J174" s="596" t="str">
        <f t="shared" si="6"/>
        <v>NA</v>
      </c>
      <c r="K174" s="601" t="str">
        <f t="shared" si="6"/>
        <v>NA</v>
      </c>
      <c r="L174" s="427"/>
      <c r="M174" s="598">
        <f>IFERROR(MAX(M173-K173,0),"NA")</f>
        <v>35.375</v>
      </c>
      <c r="N174" s="599"/>
      <c r="O174" s="340"/>
    </row>
    <row r="175" spans="4:15" ht="15.75" outlineLevel="1" thickBot="1">
      <c r="D175" s="340"/>
      <c r="E175" s="341"/>
      <c r="F175" s="341"/>
      <c r="G175" s="340"/>
      <c r="H175" s="340"/>
      <c r="I175" s="340"/>
      <c r="J175" s="340"/>
      <c r="K175" s="340"/>
      <c r="L175" s="340"/>
      <c r="M175" s="340"/>
      <c r="N175" s="341"/>
      <c r="O175" s="340"/>
    </row>
    <row r="176" spans="4:15" ht="16.5" thickBot="1">
      <c r="D176" s="340"/>
      <c r="E176" s="602" t="s">
        <v>9</v>
      </c>
      <c r="F176" s="603"/>
      <c r="G176" s="604">
        <f>swm!E154</f>
        <v>100</v>
      </c>
      <c r="H176" s="605">
        <f>swm!F154</f>
        <v>100</v>
      </c>
      <c r="I176" s="605">
        <f>swm!G154</f>
        <v>81.115879828326186</v>
      </c>
      <c r="J176" s="605">
        <f>swm!H154</f>
        <v>90.082644628099175</v>
      </c>
      <c r="K176" s="606">
        <f>J176</f>
        <v>90.082644628099175</v>
      </c>
      <c r="L176" s="607"/>
      <c r="M176" s="16">
        <v>100</v>
      </c>
      <c r="N176" s="608" t="s">
        <v>54</v>
      </c>
      <c r="O176" s="340"/>
    </row>
    <row r="177" spans="4:15" outlineLevel="1">
      <c r="D177" s="340"/>
      <c r="E177" s="609" t="s">
        <v>1083</v>
      </c>
      <c r="F177" s="609"/>
      <c r="G177" s="610"/>
      <c r="H177" s="610"/>
      <c r="I177" s="610"/>
      <c r="J177" s="610"/>
      <c r="K177" s="610"/>
      <c r="L177" s="340"/>
      <c r="M177" s="340"/>
      <c r="N177" s="341"/>
      <c r="O177" s="340"/>
    </row>
    <row r="178" spans="4:15" ht="15.75" outlineLevel="1" thickBot="1">
      <c r="D178" s="340"/>
      <c r="E178" s="341"/>
      <c r="F178" s="341"/>
      <c r="G178" s="340"/>
      <c r="H178" s="340"/>
      <c r="I178" s="340"/>
      <c r="J178" s="340"/>
      <c r="K178" s="340"/>
      <c r="L178" s="340"/>
      <c r="M178" s="340"/>
      <c r="N178" s="611"/>
      <c r="O178" s="340"/>
    </row>
    <row r="179" spans="4:15" ht="15.75">
      <c r="D179" s="340"/>
      <c r="E179" s="483" t="s">
        <v>978</v>
      </c>
      <c r="F179" s="379"/>
      <c r="G179" s="477">
        <f>swm!E152</f>
        <v>44.530328835320311</v>
      </c>
      <c r="H179" s="477">
        <f>swm!F152</f>
        <v>36.887176193534572</v>
      </c>
      <c r="I179" s="477">
        <f>swm!G152</f>
        <v>24.089298843660181</v>
      </c>
      <c r="J179" s="477">
        <f>swm!H152</f>
        <v>24.089298843660181</v>
      </c>
      <c r="K179" s="478">
        <f>K180*100/K181</f>
        <v>26.450558473101371</v>
      </c>
      <c r="L179" s="449"/>
      <c r="M179" s="612"/>
      <c r="N179" s="561"/>
      <c r="O179" s="340"/>
    </row>
    <row r="180" spans="4:15" outlineLevel="1">
      <c r="D180" s="340"/>
      <c r="E180" s="613" t="s">
        <v>1078</v>
      </c>
      <c r="F180" s="614"/>
      <c r="G180" s="595">
        <f>swm!E108</f>
        <v>33.99</v>
      </c>
      <c r="H180" s="595">
        <f>swm!F108</f>
        <v>34.46</v>
      </c>
      <c r="I180" s="595">
        <f>swm!G108</f>
        <v>36.04</v>
      </c>
      <c r="J180" s="595">
        <f>swm!H108</f>
        <v>36.04</v>
      </c>
      <c r="K180" s="615">
        <f>K182*M144/10^5</f>
        <v>39.682604644194761</v>
      </c>
      <c r="L180" s="390"/>
      <c r="M180" s="390"/>
      <c r="N180" s="581"/>
      <c r="O180" s="340"/>
    </row>
    <row r="181" spans="4:15" ht="15.75" outlineLevel="1" thickBot="1">
      <c r="D181" s="340"/>
      <c r="E181" s="529" t="s">
        <v>1079</v>
      </c>
      <c r="F181" s="616"/>
      <c r="G181" s="595">
        <f>swm!E97</f>
        <v>76.330000000000013</v>
      </c>
      <c r="H181" s="595">
        <f>swm!F97</f>
        <v>93.42</v>
      </c>
      <c r="I181" s="595">
        <f>swm!G97</f>
        <v>149.61000000000001</v>
      </c>
      <c r="J181" s="595">
        <f>swm!H97</f>
        <v>149.61000000000001</v>
      </c>
      <c r="K181" s="615">
        <f>(swm!I91*'ULB target'!M149)+(swm!I92*'ULB target'!M149)+(swm!I93*'ULB target'!M149)+(swm!I94*'ULB target'!M149)+(swm!I95*'ULB target'!M149)+(swm!I96*'ULB target'!M149)</f>
        <v>150.02558333333334</v>
      </c>
      <c r="L181" s="390"/>
      <c r="M181" s="390"/>
      <c r="N181" s="581"/>
      <c r="O181" s="340"/>
    </row>
    <row r="182" spans="4:15" ht="36.75" outlineLevel="1" thickBot="1">
      <c r="D182" s="340"/>
      <c r="E182" s="617" t="s">
        <v>1080</v>
      </c>
      <c r="F182" s="618"/>
      <c r="G182" s="619"/>
      <c r="H182" s="619"/>
      <c r="I182" s="619"/>
      <c r="J182" s="619"/>
      <c r="K182" s="572">
        <f>IFERROR(swm!I108*10^5*(1+M182),0)</f>
        <v>153.07154716398315</v>
      </c>
      <c r="L182" s="427"/>
      <c r="M182" s="19">
        <v>0.1</v>
      </c>
      <c r="N182" s="515" t="s">
        <v>241</v>
      </c>
      <c r="O182" s="340"/>
    </row>
    <row r="183" spans="4:15" ht="15.75" outlineLevel="1" thickBot="1">
      <c r="D183" s="340"/>
      <c r="E183" s="341"/>
      <c r="F183" s="341"/>
      <c r="G183" s="340"/>
      <c r="H183" s="340"/>
      <c r="I183" s="340"/>
      <c r="J183" s="340"/>
      <c r="K183" s="340"/>
      <c r="L183" s="340"/>
      <c r="M183" s="340"/>
      <c r="N183" s="341"/>
      <c r="O183" s="340"/>
    </row>
    <row r="184" spans="4:15" ht="32.25" thickBot="1">
      <c r="D184" s="340"/>
      <c r="E184" s="378" t="s">
        <v>1081</v>
      </c>
      <c r="F184" s="379"/>
      <c r="G184" s="477">
        <f>swm!E153</f>
        <v>53.309796999117381</v>
      </c>
      <c r="H184" s="477">
        <f>swm!F153</f>
        <v>86.854323853743466</v>
      </c>
      <c r="I184" s="477">
        <f>swm!G153</f>
        <v>70.033296337402888</v>
      </c>
      <c r="J184" s="477">
        <f>swm!H153</f>
        <v>70.033296337402888</v>
      </c>
      <c r="K184" s="478">
        <f>J184</f>
        <v>70.033296337402888</v>
      </c>
      <c r="L184" s="449"/>
      <c r="M184" s="16">
        <v>60</v>
      </c>
      <c r="N184" s="384" t="s">
        <v>54</v>
      </c>
      <c r="O184" s="340"/>
    </row>
    <row r="185" spans="4:15" ht="15.75" outlineLevel="1" thickBot="1">
      <c r="D185" s="340"/>
      <c r="E185" s="479" t="s">
        <v>1015</v>
      </c>
      <c r="F185" s="480"/>
      <c r="G185" s="596">
        <f>swm!E114</f>
        <v>18.12</v>
      </c>
      <c r="H185" s="596">
        <f>swm!F114</f>
        <v>29.93</v>
      </c>
      <c r="I185" s="596">
        <f>swm!G114</f>
        <v>25.24</v>
      </c>
      <c r="J185" s="596">
        <f>swm!H114</f>
        <v>25.24</v>
      </c>
      <c r="K185" s="620">
        <f>K184*K180/100</f>
        <v>27.791036104868919</v>
      </c>
      <c r="L185" s="427"/>
      <c r="M185" s="621"/>
      <c r="N185" s="405"/>
      <c r="O185" s="340"/>
    </row>
    <row r="186" spans="4:15" outlineLevel="1">
      <c r="D186" s="340"/>
      <c r="E186" s="622" t="s">
        <v>1082</v>
      </c>
      <c r="F186" s="622"/>
      <c r="G186" s="623"/>
      <c r="H186" s="623"/>
      <c r="I186" s="623"/>
      <c r="J186" s="623"/>
      <c r="K186" s="623"/>
      <c r="L186" s="340"/>
      <c r="M186" s="340"/>
      <c r="N186" s="341"/>
      <c r="O186" s="340"/>
    </row>
    <row r="187" spans="4:15" ht="15.75" outlineLevel="1" thickBot="1">
      <c r="D187" s="340"/>
      <c r="E187" s="340"/>
      <c r="F187" s="340"/>
      <c r="G187" s="340"/>
      <c r="H187" s="340"/>
      <c r="I187" s="340"/>
      <c r="J187" s="340"/>
      <c r="K187" s="340"/>
      <c r="L187" s="340"/>
      <c r="M187" s="340"/>
      <c r="N187" s="341"/>
      <c r="O187" s="340"/>
    </row>
    <row r="188" spans="4:15" ht="15.75" outlineLevel="1">
      <c r="D188" s="340"/>
      <c r="E188" s="516" t="s">
        <v>1048</v>
      </c>
      <c r="F188" s="517"/>
      <c r="G188" s="577">
        <f>'Equity Related Information'!E188</f>
        <v>1</v>
      </c>
      <c r="H188" s="577" t="str">
        <f>'Equity Related Information'!F188</f>
        <v>ND</v>
      </c>
      <c r="I188" s="577">
        <f>'Equity Related Information'!G188</f>
        <v>9.9</v>
      </c>
      <c r="J188" s="577">
        <f>'Equity Related Information'!H188</f>
        <v>9.9</v>
      </c>
      <c r="K188" s="578"/>
      <c r="L188" s="449"/>
      <c r="M188" s="449"/>
      <c r="N188" s="568"/>
      <c r="O188" s="340"/>
    </row>
    <row r="189" spans="4:15" ht="46.5" customHeight="1" outlineLevel="1">
      <c r="D189" s="340"/>
      <c r="E189" s="814" t="s">
        <v>1018</v>
      </c>
      <c r="F189" s="520"/>
      <c r="G189" s="812" t="s">
        <v>1173</v>
      </c>
      <c r="H189" s="813"/>
      <c r="I189" s="813" t="s">
        <v>79</v>
      </c>
      <c r="J189" s="813"/>
      <c r="K189" s="521" t="s">
        <v>80</v>
      </c>
      <c r="L189" s="522"/>
      <c r="M189" s="822">
        <v>10</v>
      </c>
      <c r="N189" s="824" t="s">
        <v>1062</v>
      </c>
      <c r="O189" s="340"/>
    </row>
    <row r="190" spans="4:15" ht="19.5" outlineLevel="1" thickBot="1">
      <c r="D190" s="340"/>
      <c r="E190" s="815"/>
      <c r="F190" s="523"/>
      <c r="G190" s="624">
        <f>F163+F171+K158+K151+K146</f>
        <v>21.0211848</v>
      </c>
      <c r="H190" s="579"/>
      <c r="I190" s="624">
        <f>MAX(K185-J185,0)</f>
        <v>2.5510361048689205</v>
      </c>
      <c r="J190" s="579"/>
      <c r="K190" s="524">
        <f>MAX(G190-(I190+M189),0)</f>
        <v>8.4701486951310798</v>
      </c>
      <c r="L190" s="525"/>
      <c r="M190" s="823"/>
      <c r="N190" s="825"/>
      <c r="O190" s="340"/>
    </row>
    <row r="191" spans="4:15" outlineLevel="1">
      <c r="D191" s="340"/>
      <c r="E191" s="341"/>
      <c r="F191" s="341"/>
      <c r="G191" s="340"/>
      <c r="H191" s="340"/>
      <c r="I191" s="340"/>
      <c r="J191" s="340"/>
      <c r="K191" s="340"/>
      <c r="L191" s="340"/>
      <c r="M191" s="340"/>
      <c r="N191" s="342"/>
      <c r="O191" s="340"/>
    </row>
    <row r="192" spans="4:15" ht="15.75" outlineLevel="1" thickBot="1">
      <c r="D192" s="340"/>
      <c r="E192" s="341"/>
      <c r="F192" s="341"/>
      <c r="G192" s="340"/>
      <c r="H192" s="340"/>
      <c r="I192" s="340"/>
      <c r="J192" s="340"/>
      <c r="K192" s="340"/>
      <c r="L192" s="340"/>
      <c r="M192" s="340"/>
      <c r="N192" s="342"/>
      <c r="O192" s="340"/>
    </row>
    <row r="193" spans="4:15" ht="27" outlineLevel="1" thickBot="1">
      <c r="D193" s="340"/>
      <c r="E193" s="803" t="s">
        <v>240</v>
      </c>
      <c r="F193" s="804"/>
      <c r="G193" s="804"/>
      <c r="H193" s="804"/>
      <c r="I193" s="804"/>
      <c r="J193" s="804"/>
      <c r="K193" s="804"/>
      <c r="L193" s="804"/>
      <c r="M193" s="804"/>
      <c r="N193" s="805"/>
      <c r="O193" s="340"/>
    </row>
    <row r="194" spans="4:15" ht="31.5" outlineLevel="1" thickBot="1">
      <c r="D194" s="340"/>
      <c r="E194" s="625" t="s">
        <v>218</v>
      </c>
      <c r="F194" s="626"/>
      <c r="G194" s="626" t="s">
        <v>11</v>
      </c>
      <c r="H194" s="627" t="s">
        <v>12</v>
      </c>
      <c r="I194" s="627" t="s">
        <v>14</v>
      </c>
      <c r="J194" s="626" t="s">
        <v>50</v>
      </c>
      <c r="K194" s="628" t="s">
        <v>961</v>
      </c>
      <c r="L194" s="819" t="s">
        <v>954</v>
      </c>
      <c r="M194" s="820"/>
      <c r="N194" s="821"/>
      <c r="O194" s="340"/>
    </row>
    <row r="195" spans="4:15" ht="21" outlineLevel="1">
      <c r="D195" s="340"/>
      <c r="E195" s="826" t="s">
        <v>47</v>
      </c>
      <c r="F195" s="827"/>
      <c r="G195" s="827"/>
      <c r="H195" s="827"/>
      <c r="I195" s="827"/>
      <c r="J195" s="827"/>
      <c r="K195" s="827"/>
      <c r="L195" s="827"/>
      <c r="M195" s="827"/>
      <c r="N195" s="828"/>
      <c r="O195" s="340"/>
    </row>
    <row r="196" spans="4:15" outlineLevel="1">
      <c r="D196" s="340"/>
      <c r="E196" s="629" t="s">
        <v>1017</v>
      </c>
      <c r="F196" s="630"/>
      <c r="G196" s="631">
        <f>G76</f>
        <v>72</v>
      </c>
      <c r="H196" s="631">
        <f t="shared" ref="H196:J196" si="7">H76</f>
        <v>4</v>
      </c>
      <c r="I196" s="631">
        <f t="shared" si="7"/>
        <v>347.29</v>
      </c>
      <c r="J196" s="631">
        <f t="shared" si="7"/>
        <v>347.29</v>
      </c>
      <c r="K196" s="632"/>
      <c r="L196" s="633"/>
      <c r="M196" s="633"/>
      <c r="N196" s="634"/>
      <c r="O196" s="340"/>
    </row>
    <row r="197" spans="4:15" ht="38.25" outlineLevel="1">
      <c r="D197" s="340"/>
      <c r="E197" s="816" t="s">
        <v>1049</v>
      </c>
      <c r="F197" s="635"/>
      <c r="G197" s="818" t="s">
        <v>1173</v>
      </c>
      <c r="H197" s="818"/>
      <c r="I197" s="818" t="s">
        <v>79</v>
      </c>
      <c r="J197" s="818"/>
      <c r="K197" s="636" t="s">
        <v>80</v>
      </c>
      <c r="L197" s="637"/>
      <c r="M197" s="808">
        <f>M77</f>
        <v>10</v>
      </c>
      <c r="N197" s="810" t="s">
        <v>1066</v>
      </c>
      <c r="O197" s="340"/>
    </row>
    <row r="198" spans="4:15" ht="15.75" customHeight="1" outlineLevel="1" thickBot="1">
      <c r="D198" s="340"/>
      <c r="E198" s="817"/>
      <c r="F198" s="638"/>
      <c r="G198" s="639">
        <f>G78</f>
        <v>52.55</v>
      </c>
      <c r="H198" s="639"/>
      <c r="I198" s="639">
        <f>I78</f>
        <v>43.50772875354108</v>
      </c>
      <c r="J198" s="639"/>
      <c r="K198" s="640">
        <f>K78</f>
        <v>0</v>
      </c>
      <c r="L198" s="641"/>
      <c r="M198" s="809"/>
      <c r="N198" s="811"/>
      <c r="O198" s="340"/>
    </row>
    <row r="199" spans="4:15" ht="15.75" outlineLevel="1" thickBot="1">
      <c r="D199" s="340"/>
      <c r="E199" s="642"/>
      <c r="F199" s="642"/>
      <c r="G199" s="447"/>
      <c r="H199" s="447"/>
      <c r="I199" s="447"/>
      <c r="J199" s="447"/>
      <c r="K199" s="447"/>
      <c r="L199" s="447"/>
      <c r="M199" s="447"/>
      <c r="N199" s="642"/>
      <c r="O199" s="340"/>
    </row>
    <row r="200" spans="4:15" ht="21" outlineLevel="1">
      <c r="D200" s="340"/>
      <c r="E200" s="826" t="s">
        <v>993</v>
      </c>
      <c r="F200" s="827"/>
      <c r="G200" s="827"/>
      <c r="H200" s="827"/>
      <c r="I200" s="827"/>
      <c r="J200" s="827"/>
      <c r="K200" s="827"/>
      <c r="L200" s="827"/>
      <c r="M200" s="827"/>
      <c r="N200" s="828"/>
      <c r="O200" s="340"/>
    </row>
    <row r="201" spans="4:15" outlineLevel="1">
      <c r="D201" s="340"/>
      <c r="E201" s="643" t="s">
        <v>1041</v>
      </c>
      <c r="F201" s="630"/>
      <c r="G201" s="631">
        <f>G136</f>
        <v>33</v>
      </c>
      <c r="H201" s="631" t="str">
        <f t="shared" ref="H201:J201" si="8">H136</f>
        <v>ND</v>
      </c>
      <c r="I201" s="631">
        <f t="shared" si="8"/>
        <v>11.61</v>
      </c>
      <c r="J201" s="631">
        <f t="shared" si="8"/>
        <v>11.61</v>
      </c>
      <c r="K201" s="632"/>
      <c r="L201" s="633"/>
      <c r="M201" s="633"/>
      <c r="N201" s="634"/>
      <c r="O201" s="340"/>
    </row>
    <row r="202" spans="4:15" ht="38.25" outlineLevel="1">
      <c r="D202" s="340"/>
      <c r="E202" s="816" t="s">
        <v>1049</v>
      </c>
      <c r="F202" s="635"/>
      <c r="G202" s="818" t="s">
        <v>1173</v>
      </c>
      <c r="H202" s="818"/>
      <c r="I202" s="818" t="s">
        <v>1050</v>
      </c>
      <c r="J202" s="818"/>
      <c r="K202" s="636" t="s">
        <v>80</v>
      </c>
      <c r="L202" s="637"/>
      <c r="M202" s="808">
        <f>M137</f>
        <v>10</v>
      </c>
      <c r="N202" s="810" t="s">
        <v>1066</v>
      </c>
      <c r="O202" s="340"/>
    </row>
    <row r="203" spans="4:15" ht="15.75" customHeight="1" outlineLevel="1" thickBot="1">
      <c r="D203" s="340"/>
      <c r="E203" s="817"/>
      <c r="F203" s="638"/>
      <c r="G203" s="639">
        <f>G138</f>
        <v>27.77399999999998</v>
      </c>
      <c r="H203" s="639"/>
      <c r="I203" s="639">
        <f>I138</f>
        <v>30.856829379941708</v>
      </c>
      <c r="J203" s="639"/>
      <c r="K203" s="640">
        <f>K138</f>
        <v>0</v>
      </c>
      <c r="L203" s="641"/>
      <c r="M203" s="809"/>
      <c r="N203" s="811"/>
      <c r="O203" s="340"/>
    </row>
    <row r="204" spans="4:15" ht="15.75" outlineLevel="1" thickBot="1">
      <c r="D204" s="340"/>
      <c r="E204" s="642"/>
      <c r="F204" s="642"/>
      <c r="G204" s="447"/>
      <c r="H204" s="447"/>
      <c r="I204" s="447"/>
      <c r="J204" s="447"/>
      <c r="K204" s="447"/>
      <c r="L204" s="447"/>
      <c r="M204" s="447"/>
      <c r="N204" s="642"/>
      <c r="O204" s="340"/>
    </row>
    <row r="205" spans="4:15" ht="21" outlineLevel="1">
      <c r="D205" s="340"/>
      <c r="E205" s="826" t="s">
        <v>102</v>
      </c>
      <c r="F205" s="827"/>
      <c r="G205" s="827"/>
      <c r="H205" s="827"/>
      <c r="I205" s="827"/>
      <c r="J205" s="827"/>
      <c r="K205" s="827"/>
      <c r="L205" s="827"/>
      <c r="M205" s="827"/>
      <c r="N205" s="828"/>
      <c r="O205" s="340"/>
    </row>
    <row r="206" spans="4:15" outlineLevel="1">
      <c r="D206" s="340"/>
      <c r="E206" s="643" t="s">
        <v>1048</v>
      </c>
      <c r="F206" s="630"/>
      <c r="G206" s="631">
        <f>G188</f>
        <v>1</v>
      </c>
      <c r="H206" s="631" t="str">
        <f t="shared" ref="H206:J206" si="9">H188</f>
        <v>ND</v>
      </c>
      <c r="I206" s="631">
        <f t="shared" si="9"/>
        <v>9.9</v>
      </c>
      <c r="J206" s="631">
        <f t="shared" si="9"/>
        <v>9.9</v>
      </c>
      <c r="K206" s="632"/>
      <c r="L206" s="633"/>
      <c r="M206" s="633"/>
      <c r="N206" s="634"/>
      <c r="O206" s="340"/>
    </row>
    <row r="207" spans="4:15" ht="38.25" outlineLevel="1">
      <c r="D207" s="340"/>
      <c r="E207" s="816" t="s">
        <v>1049</v>
      </c>
      <c r="F207" s="635"/>
      <c r="G207" s="818" t="s">
        <v>1173</v>
      </c>
      <c r="H207" s="818"/>
      <c r="I207" s="818" t="s">
        <v>1050</v>
      </c>
      <c r="J207" s="818"/>
      <c r="K207" s="636" t="s">
        <v>80</v>
      </c>
      <c r="L207" s="637"/>
      <c r="M207" s="808">
        <f>M189</f>
        <v>10</v>
      </c>
      <c r="N207" s="810" t="s">
        <v>1066</v>
      </c>
      <c r="O207" s="340"/>
    </row>
    <row r="208" spans="4:15" ht="15.75" customHeight="1" outlineLevel="1" thickBot="1">
      <c r="D208" s="340"/>
      <c r="E208" s="817"/>
      <c r="F208" s="638"/>
      <c r="G208" s="639">
        <f>G190</f>
        <v>21.0211848</v>
      </c>
      <c r="H208" s="639"/>
      <c r="I208" s="639">
        <f>I190</f>
        <v>2.5510361048689205</v>
      </c>
      <c r="J208" s="639"/>
      <c r="K208" s="640">
        <f>K190</f>
        <v>8.4701486951310798</v>
      </c>
      <c r="L208" s="641"/>
      <c r="M208" s="809"/>
      <c r="N208" s="811"/>
      <c r="O208" s="340"/>
    </row>
    <row r="209" spans="4:17">
      <c r="D209" s="340"/>
      <c r="E209" s="341"/>
      <c r="F209" s="341"/>
      <c r="G209" s="340"/>
      <c r="H209" s="340"/>
      <c r="I209" s="340"/>
      <c r="J209" s="340"/>
      <c r="K209" s="340"/>
      <c r="L209" s="340"/>
      <c r="M209" s="340"/>
      <c r="N209" s="342"/>
      <c r="O209" s="340"/>
    </row>
    <row r="210" spans="4:17">
      <c r="E210" s="343"/>
      <c r="F210" s="343"/>
      <c r="N210" s="343"/>
      <c r="P210" s="644"/>
      <c r="Q210" s="644"/>
    </row>
    <row r="211" spans="4:17">
      <c r="E211" s="645"/>
      <c r="F211" s="645"/>
      <c r="G211" s="644"/>
      <c r="H211" s="644"/>
      <c r="I211" s="644"/>
      <c r="J211" s="644"/>
      <c r="K211" s="644"/>
      <c r="L211" s="644"/>
      <c r="M211" s="644"/>
      <c r="N211" s="646"/>
      <c r="O211" s="644"/>
      <c r="P211" s="644"/>
      <c r="Q211" s="644"/>
    </row>
  </sheetData>
  <sheetProtection password="A2B1" sheet="1" objects="1" scenarios="1"/>
  <mergeCells count="70">
    <mergeCell ref="E17:N17"/>
    <mergeCell ref="L18:N18"/>
    <mergeCell ref="E205:N205"/>
    <mergeCell ref="E207:E208"/>
    <mergeCell ref="G207:H207"/>
    <mergeCell ref="I207:J207"/>
    <mergeCell ref="M207:M208"/>
    <mergeCell ref="N207:N208"/>
    <mergeCell ref="G137:H137"/>
    <mergeCell ref="I137:J137"/>
    <mergeCell ref="M137:M138"/>
    <mergeCell ref="N137:N138"/>
    <mergeCell ref="E141:N141"/>
    <mergeCell ref="L142:N142"/>
    <mergeCell ref="E189:E190"/>
    <mergeCell ref="N202:N203"/>
    <mergeCell ref="E4:N4"/>
    <mergeCell ref="E5:N5"/>
    <mergeCell ref="E6:N6"/>
    <mergeCell ref="N77:N78"/>
    <mergeCell ref="M77:M78"/>
    <mergeCell ref="G77:H77"/>
    <mergeCell ref="I77:J77"/>
    <mergeCell ref="H8:I8"/>
    <mergeCell ref="E77:E78"/>
    <mergeCell ref="G12:N12"/>
    <mergeCell ref="G20:N20"/>
    <mergeCell ref="G21:N21"/>
    <mergeCell ref="G28:N28"/>
    <mergeCell ref="G30:N30"/>
    <mergeCell ref="G38:N38"/>
    <mergeCell ref="G50:N50"/>
    <mergeCell ref="G37:N37"/>
    <mergeCell ref="E137:E138"/>
    <mergeCell ref="E202:E203"/>
    <mergeCell ref="G202:H202"/>
    <mergeCell ref="I202:J202"/>
    <mergeCell ref="M202:M203"/>
    <mergeCell ref="E193:N193"/>
    <mergeCell ref="L194:N194"/>
    <mergeCell ref="I189:J189"/>
    <mergeCell ref="M189:M190"/>
    <mergeCell ref="N189:N190"/>
    <mergeCell ref="E200:N200"/>
    <mergeCell ref="E195:N195"/>
    <mergeCell ref="E197:E198"/>
    <mergeCell ref="G197:H197"/>
    <mergeCell ref="I197:J197"/>
    <mergeCell ref="M197:M198"/>
    <mergeCell ref="N197:N198"/>
    <mergeCell ref="G161:N161"/>
    <mergeCell ref="G163:N163"/>
    <mergeCell ref="G169:N169"/>
    <mergeCell ref="G171:N171"/>
    <mergeCell ref="G189:H189"/>
    <mergeCell ref="G52:N52"/>
    <mergeCell ref="E124:K124"/>
    <mergeCell ref="E134:K134"/>
    <mergeCell ref="E58:K58"/>
    <mergeCell ref="E74:K74"/>
    <mergeCell ref="I78:J78"/>
    <mergeCell ref="G78:H78"/>
    <mergeCell ref="G92:N92"/>
    <mergeCell ref="G93:N93"/>
    <mergeCell ref="G100:N100"/>
    <mergeCell ref="G102:N102"/>
    <mergeCell ref="G112:N112"/>
    <mergeCell ref="G114:N114"/>
    <mergeCell ref="E81:N81"/>
    <mergeCell ref="L82:N82"/>
  </mergeCells>
  <conditionalFormatting sqref="G53:K54">
    <cfRule type="cellIs" dxfId="30" priority="402" operator="greaterThan">
      <formula>25</formula>
    </cfRule>
    <cfRule type="cellIs" dxfId="29" priority="403" operator="between">
      <formula>15</formula>
      <formula>25</formula>
    </cfRule>
    <cfRule type="cellIs" dxfId="28" priority="404" operator="lessThanOrEqual">
      <formula>15</formula>
    </cfRule>
  </conditionalFormatting>
  <conditionalFormatting sqref="G39:K39">
    <cfRule type="cellIs" dxfId="27" priority="119" operator="equal">
      <formula>"*"</formula>
    </cfRule>
    <cfRule type="cellIs" dxfId="26" priority="348" operator="lessThan">
      <formula>20</formula>
    </cfRule>
    <cfRule type="cellIs" dxfId="25" priority="349" operator="between">
      <formula>20</formula>
      <formula>30</formula>
    </cfRule>
    <cfRule type="cellIs" dxfId="24" priority="350" operator="greaterThan">
      <formula>30</formula>
    </cfRule>
  </conditionalFormatting>
  <conditionalFormatting sqref="G31:K31">
    <cfRule type="cellIs" dxfId="23" priority="120" operator="equal">
      <formula>"""*"""</formula>
    </cfRule>
    <cfRule type="cellIs" dxfId="22" priority="321" operator="greaterThanOrEqual">
      <formula>$C$32</formula>
    </cfRule>
    <cfRule type="cellIs" dxfId="21" priority="322" operator="between">
      <formula>$C$31</formula>
      <formula>$C$32</formula>
    </cfRule>
    <cfRule type="cellIs" dxfId="20" priority="323" operator="lessThanOrEqual">
      <formula>$C$31</formula>
    </cfRule>
  </conditionalFormatting>
  <conditionalFormatting sqref="G184:K184 G179:K179 G131:K131 G122:K122 G126:K126 G143:K143 G148:K148 G71:K71 G63:K63 G56:K56 G83:K83 G22:K22">
    <cfRule type="cellIs" dxfId="19" priority="303" operator="greaterThan">
      <formula>80</formula>
    </cfRule>
    <cfRule type="cellIs" dxfId="18" priority="304" operator="between">
      <formula>50</formula>
      <formula>80</formula>
    </cfRule>
    <cfRule type="cellIs" dxfId="17" priority="305" operator="lessThanOrEqual">
      <formula>50</formula>
    </cfRule>
  </conditionalFormatting>
  <conditionalFormatting sqref="G67:K67">
    <cfRule type="cellIs" dxfId="16" priority="112" operator="equal">
      <formula>"*"</formula>
    </cfRule>
    <cfRule type="cellIs" dxfId="15" priority="248" operator="lessThan">
      <formula>1</formula>
    </cfRule>
    <cfRule type="cellIs" dxfId="14" priority="249" operator="between">
      <formula>1</formula>
      <formula>3</formula>
    </cfRule>
    <cfRule type="cellIs" dxfId="13" priority="250" operator="greaterThan">
      <formula>3</formula>
    </cfRule>
  </conditionalFormatting>
  <conditionalFormatting sqref="G43:K43">
    <cfRule type="cellIs" dxfId="12" priority="206" operator="greaterThan">
      <formula>25</formula>
    </cfRule>
    <cfRule type="cellIs" dxfId="11" priority="207" operator="between">
      <formula>5</formula>
      <formula>25</formula>
    </cfRule>
    <cfRule type="cellIs" dxfId="10" priority="208" operator="lessThanOrEqual">
      <formula>5</formula>
    </cfRule>
  </conditionalFormatting>
  <conditionalFormatting sqref="G176:K176 G184:K184 G172:K172 G179:K179 G164:K164 G131:K131 G119:K119 G122:K122 G126:K126 G115:K115 G143:K143 G148:K148 G153:K153 G107:K107 G103:K103 G94:K94 G71:K71 G63:K63 G56:K56 G60:K60 G53:K54 G83:K83 G43:K43 G22:K22">
    <cfRule type="cellIs" dxfId="9" priority="54" operator="equal">
      <formula>"*"</formula>
    </cfRule>
  </conditionalFormatting>
  <conditionalFormatting sqref="G176:K176 G119:K119 G60:K60">
    <cfRule type="cellIs" dxfId="8" priority="78" operator="greaterThan">
      <formula>90</formula>
    </cfRule>
    <cfRule type="cellIs" dxfId="7" priority="79" operator="between">
      <formula>50</formula>
      <formula>90</formula>
    </cfRule>
    <cfRule type="cellIs" dxfId="6" priority="80" operator="lessThanOrEqual">
      <formula>50</formula>
    </cfRule>
  </conditionalFormatting>
  <conditionalFormatting sqref="G115:K115 G107:K107 G103:K103 G94:K94">
    <cfRule type="cellIs" dxfId="5" priority="55" stopIfTrue="1" operator="greaterThanOrEqual">
      <formula>50</formula>
    </cfRule>
    <cfRule type="cellIs" dxfId="4" priority="56" stopIfTrue="1" operator="between">
      <formula>0</formula>
      <formula>50</formula>
    </cfRule>
    <cfRule type="cellIs" dxfId="3" priority="122" stopIfTrue="1" operator="lessThanOrEqual">
      <formula>0</formula>
    </cfRule>
  </conditionalFormatting>
  <conditionalFormatting sqref="G172:K172 G164:K164 G153:K153">
    <cfRule type="cellIs" dxfId="2" priority="14" operator="greaterThan">
      <formula>50</formula>
    </cfRule>
    <cfRule type="cellIs" dxfId="1" priority="15" operator="between">
      <formula>25</formula>
      <formula>50</formula>
    </cfRule>
    <cfRule type="cellIs" dxfId="0" priority="16" operator="lessThanOrEqual">
      <formula>25</formula>
    </cfRule>
  </conditionalFormatting>
  <hyperlinks>
    <hyperlink ref="H8" location="'ULB target'!A1" display="ULB TARGET "/>
    <hyperlink ref="M8" location="Guidelines!A1" display="GUIDELINES"/>
    <hyperlink ref="E8" location="'User guide'!A1" display="USER GUIDE"/>
    <hyperlink ref="H10" location="'ULB target'!E81" display="WASTE WATER"/>
    <hyperlink ref="K10" location="'ULB target'!E141" display="SOLID WASTE"/>
    <hyperlink ref="E10" location="'ULB target'!E26" display="WATER SUPPLY"/>
    <hyperlink ref="N10" location="'ULB target'!E193" display="SUMMARY"/>
  </hyperlinks>
  <printOptions horizontalCentered="1"/>
  <pageMargins left="0.22" right="0.21" top="0.41" bottom="0.23" header="0.24" footer="0.23"/>
  <pageSetup paperSize="9" scale="53" orientation="portrait" r:id="rId1"/>
  <rowBreaks count="3" manualBreakCount="3">
    <brk id="79" min="3" max="13" man="1"/>
    <brk id="139" min="3" max="13" man="1"/>
    <brk id="190" min="3" max="13" man="1"/>
  </rowBreaks>
</worksheet>
</file>

<file path=xl/worksheets/sheet4.xml><?xml version="1.0" encoding="utf-8"?>
<worksheet xmlns="http://schemas.openxmlformats.org/spreadsheetml/2006/main" xmlns:r="http://schemas.openxmlformats.org/officeDocument/2006/relationships">
  <dimension ref="A1:IV112"/>
  <sheetViews>
    <sheetView topLeftCell="A94" workbookViewId="0">
      <selection activeCell="C114" sqref="C114"/>
    </sheetView>
  </sheetViews>
  <sheetFormatPr defaultRowHeight="15"/>
  <cols>
    <col min="1" max="1" width="5.140625" style="20" bestFit="1" customWidth="1"/>
    <col min="2" max="2" width="48.140625" style="20" customWidth="1"/>
    <col min="3" max="3" width="14.28515625" style="20" bestFit="1" customWidth="1"/>
    <col min="4" max="4" width="14" style="20" bestFit="1" customWidth="1"/>
    <col min="5" max="8" width="12.85546875" style="20" bestFit="1" customWidth="1"/>
    <col min="9" max="256" width="9.140625" style="20" bestFit="1" customWidth="1"/>
    <col min="257" max="257" width="5.140625" style="49" bestFit="1" customWidth="1"/>
    <col min="258" max="258" width="71.140625" style="49" bestFit="1" customWidth="1"/>
    <col min="259" max="259" width="14.28515625" style="49" bestFit="1" customWidth="1"/>
    <col min="260" max="260" width="14" style="49" bestFit="1" customWidth="1"/>
    <col min="261" max="264" width="12.85546875" style="49" bestFit="1" customWidth="1"/>
    <col min="265" max="512" width="9.140625" style="49" bestFit="1" customWidth="1"/>
    <col min="513" max="513" width="5.140625" style="49" bestFit="1" customWidth="1"/>
    <col min="514" max="514" width="71.140625" style="49" bestFit="1" customWidth="1"/>
    <col min="515" max="515" width="14.28515625" style="49" bestFit="1" customWidth="1"/>
    <col min="516" max="516" width="14" style="49" bestFit="1" customWidth="1"/>
    <col min="517" max="520" width="12.85546875" style="49" bestFit="1" customWidth="1"/>
    <col min="521" max="768" width="9.140625" style="49" bestFit="1" customWidth="1"/>
    <col min="769" max="769" width="5.140625" style="49" bestFit="1" customWidth="1"/>
    <col min="770" max="770" width="71.140625" style="49" bestFit="1" customWidth="1"/>
    <col min="771" max="771" width="14.28515625" style="49" bestFit="1" customWidth="1"/>
    <col min="772" max="772" width="14" style="49" bestFit="1" customWidth="1"/>
    <col min="773" max="776" width="12.85546875" style="49" bestFit="1" customWidth="1"/>
    <col min="777" max="1024" width="9.140625" style="49" bestFit="1" customWidth="1"/>
    <col min="1025" max="1025" width="5.140625" style="49" bestFit="1" customWidth="1"/>
    <col min="1026" max="1026" width="71.140625" style="49" bestFit="1" customWidth="1"/>
    <col min="1027" max="1027" width="14.28515625" style="49" bestFit="1" customWidth="1"/>
    <col min="1028" max="1028" width="14" style="49" bestFit="1" customWidth="1"/>
    <col min="1029" max="1032" width="12.85546875" style="49" bestFit="1" customWidth="1"/>
    <col min="1033" max="1280" width="9.140625" style="49" bestFit="1" customWidth="1"/>
    <col min="1281" max="1281" width="5.140625" style="49" bestFit="1" customWidth="1"/>
    <col min="1282" max="1282" width="71.140625" style="49" bestFit="1" customWidth="1"/>
    <col min="1283" max="1283" width="14.28515625" style="49" bestFit="1" customWidth="1"/>
    <col min="1284" max="1284" width="14" style="49" bestFit="1" customWidth="1"/>
    <col min="1285" max="1288" width="12.85546875" style="49" bestFit="1" customWidth="1"/>
    <col min="1289" max="1536" width="9.140625" style="49" bestFit="1" customWidth="1"/>
    <col min="1537" max="1537" width="5.140625" style="49" bestFit="1" customWidth="1"/>
    <col min="1538" max="1538" width="71.140625" style="49" bestFit="1" customWidth="1"/>
    <col min="1539" max="1539" width="14.28515625" style="49" bestFit="1" customWidth="1"/>
    <col min="1540" max="1540" width="14" style="49" bestFit="1" customWidth="1"/>
    <col min="1541" max="1544" width="12.85546875" style="49" bestFit="1" customWidth="1"/>
    <col min="1545" max="1792" width="9.140625" style="49" bestFit="1" customWidth="1"/>
    <col min="1793" max="1793" width="5.140625" style="49" bestFit="1" customWidth="1"/>
    <col min="1794" max="1794" width="71.140625" style="49" bestFit="1" customWidth="1"/>
    <col min="1795" max="1795" width="14.28515625" style="49" bestFit="1" customWidth="1"/>
    <col min="1796" max="1796" width="14" style="49" bestFit="1" customWidth="1"/>
    <col min="1797" max="1800" width="12.85546875" style="49" bestFit="1" customWidth="1"/>
    <col min="1801" max="2048" width="9.140625" style="49" bestFit="1" customWidth="1"/>
    <col min="2049" max="2049" width="5.140625" style="49" bestFit="1" customWidth="1"/>
    <col min="2050" max="2050" width="71.140625" style="49" bestFit="1" customWidth="1"/>
    <col min="2051" max="2051" width="14.28515625" style="49" bestFit="1" customWidth="1"/>
    <col min="2052" max="2052" width="14" style="49" bestFit="1" customWidth="1"/>
    <col min="2053" max="2056" width="12.85546875" style="49" bestFit="1" customWidth="1"/>
    <col min="2057" max="2304" width="9.140625" style="49" bestFit="1" customWidth="1"/>
    <col min="2305" max="2305" width="5.140625" style="49" bestFit="1" customWidth="1"/>
    <col min="2306" max="2306" width="71.140625" style="49" bestFit="1" customWidth="1"/>
    <col min="2307" max="2307" width="14.28515625" style="49" bestFit="1" customWidth="1"/>
    <col min="2308" max="2308" width="14" style="49" bestFit="1" customWidth="1"/>
    <col min="2309" max="2312" width="12.85546875" style="49" bestFit="1" customWidth="1"/>
    <col min="2313" max="2560" width="9.140625" style="49" bestFit="1" customWidth="1"/>
    <col min="2561" max="2561" width="5.140625" style="49" bestFit="1" customWidth="1"/>
    <col min="2562" max="2562" width="71.140625" style="49" bestFit="1" customWidth="1"/>
    <col min="2563" max="2563" width="14.28515625" style="49" bestFit="1" customWidth="1"/>
    <col min="2564" max="2564" width="14" style="49" bestFit="1" customWidth="1"/>
    <col min="2565" max="2568" width="12.85546875" style="49" bestFit="1" customWidth="1"/>
    <col min="2569" max="2816" width="9.140625" style="49" bestFit="1" customWidth="1"/>
    <col min="2817" max="2817" width="5.140625" style="49" bestFit="1" customWidth="1"/>
    <col min="2818" max="2818" width="71.140625" style="49" bestFit="1" customWidth="1"/>
    <col min="2819" max="2819" width="14.28515625" style="49" bestFit="1" customWidth="1"/>
    <col min="2820" max="2820" width="14" style="49" bestFit="1" customWidth="1"/>
    <col min="2821" max="2824" width="12.85546875" style="49" bestFit="1" customWidth="1"/>
    <col min="2825" max="3072" width="9.140625" style="49" bestFit="1" customWidth="1"/>
    <col min="3073" max="3073" width="5.140625" style="49" bestFit="1" customWidth="1"/>
    <col min="3074" max="3074" width="71.140625" style="49" bestFit="1" customWidth="1"/>
    <col min="3075" max="3075" width="14.28515625" style="49" bestFit="1" customWidth="1"/>
    <col min="3076" max="3076" width="14" style="49" bestFit="1" customWidth="1"/>
    <col min="3077" max="3080" width="12.85546875" style="49" bestFit="1" customWidth="1"/>
    <col min="3081" max="3328" width="9.140625" style="49" bestFit="1" customWidth="1"/>
    <col min="3329" max="3329" width="5.140625" style="49" bestFit="1" customWidth="1"/>
    <col min="3330" max="3330" width="71.140625" style="49" bestFit="1" customWidth="1"/>
    <col min="3331" max="3331" width="14.28515625" style="49" bestFit="1" customWidth="1"/>
    <col min="3332" max="3332" width="14" style="49" bestFit="1" customWidth="1"/>
    <col min="3333" max="3336" width="12.85546875" style="49" bestFit="1" customWidth="1"/>
    <col min="3337" max="3584" width="9.140625" style="49" bestFit="1" customWidth="1"/>
    <col min="3585" max="3585" width="5.140625" style="49" bestFit="1" customWidth="1"/>
    <col min="3586" max="3586" width="71.140625" style="49" bestFit="1" customWidth="1"/>
    <col min="3587" max="3587" width="14.28515625" style="49" bestFit="1" customWidth="1"/>
    <col min="3588" max="3588" width="14" style="49" bestFit="1" customWidth="1"/>
    <col min="3589" max="3592" width="12.85546875" style="49" bestFit="1" customWidth="1"/>
    <col min="3593" max="3840" width="9.140625" style="49" bestFit="1" customWidth="1"/>
    <col min="3841" max="3841" width="5.140625" style="49" bestFit="1" customWidth="1"/>
    <col min="3842" max="3842" width="71.140625" style="49" bestFit="1" customWidth="1"/>
    <col min="3843" max="3843" width="14.28515625" style="49" bestFit="1" customWidth="1"/>
    <col min="3844" max="3844" width="14" style="49" bestFit="1" customWidth="1"/>
    <col min="3845" max="3848" width="12.85546875" style="49" bestFit="1" customWidth="1"/>
    <col min="3849" max="4096" width="9.140625" style="49" bestFit="1" customWidth="1"/>
    <col min="4097" max="4097" width="5.140625" style="49" bestFit="1" customWidth="1"/>
    <col min="4098" max="4098" width="71.140625" style="49" bestFit="1" customWidth="1"/>
    <col min="4099" max="4099" width="14.28515625" style="49" bestFit="1" customWidth="1"/>
    <col min="4100" max="4100" width="14" style="49" bestFit="1" customWidth="1"/>
    <col min="4101" max="4104" width="12.85546875" style="49" bestFit="1" customWidth="1"/>
    <col min="4105" max="4352" width="9.140625" style="49" bestFit="1" customWidth="1"/>
    <col min="4353" max="4353" width="5.140625" style="49" bestFit="1" customWidth="1"/>
    <col min="4354" max="4354" width="71.140625" style="49" bestFit="1" customWidth="1"/>
    <col min="4355" max="4355" width="14.28515625" style="49" bestFit="1" customWidth="1"/>
    <col min="4356" max="4356" width="14" style="49" bestFit="1" customWidth="1"/>
    <col min="4357" max="4360" width="12.85546875" style="49" bestFit="1" customWidth="1"/>
    <col min="4361" max="4608" width="9.140625" style="49" bestFit="1" customWidth="1"/>
    <col min="4609" max="4609" width="5.140625" style="49" bestFit="1" customWidth="1"/>
    <col min="4610" max="4610" width="71.140625" style="49" bestFit="1" customWidth="1"/>
    <col min="4611" max="4611" width="14.28515625" style="49" bestFit="1" customWidth="1"/>
    <col min="4612" max="4612" width="14" style="49" bestFit="1" customWidth="1"/>
    <col min="4613" max="4616" width="12.85546875" style="49" bestFit="1" customWidth="1"/>
    <col min="4617" max="4864" width="9.140625" style="49" bestFit="1" customWidth="1"/>
    <col min="4865" max="4865" width="5.140625" style="49" bestFit="1" customWidth="1"/>
    <col min="4866" max="4866" width="71.140625" style="49" bestFit="1" customWidth="1"/>
    <col min="4867" max="4867" width="14.28515625" style="49" bestFit="1" customWidth="1"/>
    <col min="4868" max="4868" width="14" style="49" bestFit="1" customWidth="1"/>
    <col min="4869" max="4872" width="12.85546875" style="49" bestFit="1" customWidth="1"/>
    <col min="4873" max="5120" width="9.140625" style="49" bestFit="1" customWidth="1"/>
    <col min="5121" max="5121" width="5.140625" style="49" bestFit="1" customWidth="1"/>
    <col min="5122" max="5122" width="71.140625" style="49" bestFit="1" customWidth="1"/>
    <col min="5123" max="5123" width="14.28515625" style="49" bestFit="1" customWidth="1"/>
    <col min="5124" max="5124" width="14" style="49" bestFit="1" customWidth="1"/>
    <col min="5125" max="5128" width="12.85546875" style="49" bestFit="1" customWidth="1"/>
    <col min="5129" max="5376" width="9.140625" style="49" bestFit="1" customWidth="1"/>
    <col min="5377" max="5377" width="5.140625" style="49" bestFit="1" customWidth="1"/>
    <col min="5378" max="5378" width="71.140625" style="49" bestFit="1" customWidth="1"/>
    <col min="5379" max="5379" width="14.28515625" style="49" bestFit="1" customWidth="1"/>
    <col min="5380" max="5380" width="14" style="49" bestFit="1" customWidth="1"/>
    <col min="5381" max="5384" width="12.85546875" style="49" bestFit="1" customWidth="1"/>
    <col min="5385" max="5632" width="9.140625" style="49" bestFit="1" customWidth="1"/>
    <col min="5633" max="5633" width="5.140625" style="49" bestFit="1" customWidth="1"/>
    <col min="5634" max="5634" width="71.140625" style="49" bestFit="1" customWidth="1"/>
    <col min="5635" max="5635" width="14.28515625" style="49" bestFit="1" customWidth="1"/>
    <col min="5636" max="5636" width="14" style="49" bestFit="1" customWidth="1"/>
    <col min="5637" max="5640" width="12.85546875" style="49" bestFit="1" customWidth="1"/>
    <col min="5641" max="5888" width="9.140625" style="49" bestFit="1" customWidth="1"/>
    <col min="5889" max="5889" width="5.140625" style="49" bestFit="1" customWidth="1"/>
    <col min="5890" max="5890" width="71.140625" style="49" bestFit="1" customWidth="1"/>
    <col min="5891" max="5891" width="14.28515625" style="49" bestFit="1" customWidth="1"/>
    <col min="5892" max="5892" width="14" style="49" bestFit="1" customWidth="1"/>
    <col min="5893" max="5896" width="12.85546875" style="49" bestFit="1" customWidth="1"/>
    <col min="5897" max="6144" width="9.140625" style="49" bestFit="1" customWidth="1"/>
    <col min="6145" max="6145" width="5.140625" style="49" bestFit="1" customWidth="1"/>
    <col min="6146" max="6146" width="71.140625" style="49" bestFit="1" customWidth="1"/>
    <col min="6147" max="6147" width="14.28515625" style="49" bestFit="1" customWidth="1"/>
    <col min="6148" max="6148" width="14" style="49" bestFit="1" customWidth="1"/>
    <col min="6149" max="6152" width="12.85546875" style="49" bestFit="1" customWidth="1"/>
    <col min="6153" max="6400" width="9.140625" style="49" bestFit="1" customWidth="1"/>
    <col min="6401" max="6401" width="5.140625" style="49" bestFit="1" customWidth="1"/>
    <col min="6402" max="6402" width="71.140625" style="49" bestFit="1" customWidth="1"/>
    <col min="6403" max="6403" width="14.28515625" style="49" bestFit="1" customWidth="1"/>
    <col min="6404" max="6404" width="14" style="49" bestFit="1" customWidth="1"/>
    <col min="6405" max="6408" width="12.85546875" style="49" bestFit="1" customWidth="1"/>
    <col min="6409" max="6656" width="9.140625" style="49" bestFit="1" customWidth="1"/>
    <col min="6657" max="6657" width="5.140625" style="49" bestFit="1" customWidth="1"/>
    <col min="6658" max="6658" width="71.140625" style="49" bestFit="1" customWidth="1"/>
    <col min="6659" max="6659" width="14.28515625" style="49" bestFit="1" customWidth="1"/>
    <col min="6660" max="6660" width="14" style="49" bestFit="1" customWidth="1"/>
    <col min="6661" max="6664" width="12.85546875" style="49" bestFit="1" customWidth="1"/>
    <col min="6665" max="6912" width="9.140625" style="49" bestFit="1" customWidth="1"/>
    <col min="6913" max="6913" width="5.140625" style="49" bestFit="1" customWidth="1"/>
    <col min="6914" max="6914" width="71.140625" style="49" bestFit="1" customWidth="1"/>
    <col min="6915" max="6915" width="14.28515625" style="49" bestFit="1" customWidth="1"/>
    <col min="6916" max="6916" width="14" style="49" bestFit="1" customWidth="1"/>
    <col min="6917" max="6920" width="12.85546875" style="49" bestFit="1" customWidth="1"/>
    <col min="6921" max="7168" width="9.140625" style="49" bestFit="1" customWidth="1"/>
    <col min="7169" max="7169" width="5.140625" style="49" bestFit="1" customWidth="1"/>
    <col min="7170" max="7170" width="71.140625" style="49" bestFit="1" customWidth="1"/>
    <col min="7171" max="7171" width="14.28515625" style="49" bestFit="1" customWidth="1"/>
    <col min="7172" max="7172" width="14" style="49" bestFit="1" customWidth="1"/>
    <col min="7173" max="7176" width="12.85546875" style="49" bestFit="1" customWidth="1"/>
    <col min="7177" max="7424" width="9.140625" style="49" bestFit="1" customWidth="1"/>
    <col min="7425" max="7425" width="5.140625" style="49" bestFit="1" customWidth="1"/>
    <col min="7426" max="7426" width="71.140625" style="49" bestFit="1" customWidth="1"/>
    <col min="7427" max="7427" width="14.28515625" style="49" bestFit="1" customWidth="1"/>
    <col min="7428" max="7428" width="14" style="49" bestFit="1" customWidth="1"/>
    <col min="7429" max="7432" width="12.85546875" style="49" bestFit="1" customWidth="1"/>
    <col min="7433" max="7680" width="9.140625" style="49" bestFit="1" customWidth="1"/>
    <col min="7681" max="7681" width="5.140625" style="49" bestFit="1" customWidth="1"/>
    <col min="7682" max="7682" width="71.140625" style="49" bestFit="1" customWidth="1"/>
    <col min="7683" max="7683" width="14.28515625" style="49" bestFit="1" customWidth="1"/>
    <col min="7684" max="7684" width="14" style="49" bestFit="1" customWidth="1"/>
    <col min="7685" max="7688" width="12.85546875" style="49" bestFit="1" customWidth="1"/>
    <col min="7689" max="7936" width="9.140625" style="49" bestFit="1" customWidth="1"/>
    <col min="7937" max="7937" width="5.140625" style="49" bestFit="1" customWidth="1"/>
    <col min="7938" max="7938" width="71.140625" style="49" bestFit="1" customWidth="1"/>
    <col min="7939" max="7939" width="14.28515625" style="49" bestFit="1" customWidth="1"/>
    <col min="7940" max="7940" width="14" style="49" bestFit="1" customWidth="1"/>
    <col min="7941" max="7944" width="12.85546875" style="49" bestFit="1" customWidth="1"/>
    <col min="7945" max="8192" width="9.140625" style="49" bestFit="1" customWidth="1"/>
    <col min="8193" max="8193" width="5.140625" style="49" bestFit="1" customWidth="1"/>
    <col min="8194" max="8194" width="71.140625" style="49" bestFit="1" customWidth="1"/>
    <col min="8195" max="8195" width="14.28515625" style="49" bestFit="1" customWidth="1"/>
    <col min="8196" max="8196" width="14" style="49" bestFit="1" customWidth="1"/>
    <col min="8197" max="8200" width="12.85546875" style="49" bestFit="1" customWidth="1"/>
    <col min="8201" max="8448" width="9.140625" style="49" bestFit="1" customWidth="1"/>
    <col min="8449" max="8449" width="5.140625" style="49" bestFit="1" customWidth="1"/>
    <col min="8450" max="8450" width="71.140625" style="49" bestFit="1" customWidth="1"/>
    <col min="8451" max="8451" width="14.28515625" style="49" bestFit="1" customWidth="1"/>
    <col min="8452" max="8452" width="14" style="49" bestFit="1" customWidth="1"/>
    <col min="8453" max="8456" width="12.85546875" style="49" bestFit="1" customWidth="1"/>
    <col min="8457" max="8704" width="9.140625" style="49" bestFit="1" customWidth="1"/>
    <col min="8705" max="8705" width="5.140625" style="49" bestFit="1" customWidth="1"/>
    <col min="8706" max="8706" width="71.140625" style="49" bestFit="1" customWidth="1"/>
    <col min="8707" max="8707" width="14.28515625" style="49" bestFit="1" customWidth="1"/>
    <col min="8708" max="8708" width="14" style="49" bestFit="1" customWidth="1"/>
    <col min="8709" max="8712" width="12.85546875" style="49" bestFit="1" customWidth="1"/>
    <col min="8713" max="8960" width="9.140625" style="49" bestFit="1" customWidth="1"/>
    <col min="8961" max="8961" width="5.140625" style="49" bestFit="1" customWidth="1"/>
    <col min="8962" max="8962" width="71.140625" style="49" bestFit="1" customWidth="1"/>
    <col min="8963" max="8963" width="14.28515625" style="49" bestFit="1" customWidth="1"/>
    <col min="8964" max="8964" width="14" style="49" bestFit="1" customWidth="1"/>
    <col min="8965" max="8968" width="12.85546875" style="49" bestFit="1" customWidth="1"/>
    <col min="8969" max="9216" width="9.140625" style="49" bestFit="1" customWidth="1"/>
    <col min="9217" max="9217" width="5.140625" style="49" bestFit="1" customWidth="1"/>
    <col min="9218" max="9218" width="71.140625" style="49" bestFit="1" customWidth="1"/>
    <col min="9219" max="9219" width="14.28515625" style="49" bestFit="1" customWidth="1"/>
    <col min="9220" max="9220" width="14" style="49" bestFit="1" customWidth="1"/>
    <col min="9221" max="9224" width="12.85546875" style="49" bestFit="1" customWidth="1"/>
    <col min="9225" max="9472" width="9.140625" style="49" bestFit="1" customWidth="1"/>
    <col min="9473" max="9473" width="5.140625" style="49" bestFit="1" customWidth="1"/>
    <col min="9474" max="9474" width="71.140625" style="49" bestFit="1" customWidth="1"/>
    <col min="9475" max="9475" width="14.28515625" style="49" bestFit="1" customWidth="1"/>
    <col min="9476" max="9476" width="14" style="49" bestFit="1" customWidth="1"/>
    <col min="9477" max="9480" width="12.85546875" style="49" bestFit="1" customWidth="1"/>
    <col min="9481" max="9728" width="9.140625" style="49" bestFit="1" customWidth="1"/>
    <col min="9729" max="9729" width="5.140625" style="49" bestFit="1" customWidth="1"/>
    <col min="9730" max="9730" width="71.140625" style="49" bestFit="1" customWidth="1"/>
    <col min="9731" max="9731" width="14.28515625" style="49" bestFit="1" customWidth="1"/>
    <col min="9732" max="9732" width="14" style="49" bestFit="1" customWidth="1"/>
    <col min="9733" max="9736" width="12.85546875" style="49" bestFit="1" customWidth="1"/>
    <col min="9737" max="9984" width="9.140625" style="49" bestFit="1" customWidth="1"/>
    <col min="9985" max="9985" width="5.140625" style="49" bestFit="1" customWidth="1"/>
    <col min="9986" max="9986" width="71.140625" style="49" bestFit="1" customWidth="1"/>
    <col min="9987" max="9987" width="14.28515625" style="49" bestFit="1" customWidth="1"/>
    <col min="9988" max="9988" width="14" style="49" bestFit="1" customWidth="1"/>
    <col min="9989" max="9992" width="12.85546875" style="49" bestFit="1" customWidth="1"/>
    <col min="9993" max="10240" width="9.140625" style="49" bestFit="1" customWidth="1"/>
    <col min="10241" max="10241" width="5.140625" style="49" bestFit="1" customWidth="1"/>
    <col min="10242" max="10242" width="71.140625" style="49" bestFit="1" customWidth="1"/>
    <col min="10243" max="10243" width="14.28515625" style="49" bestFit="1" customWidth="1"/>
    <col min="10244" max="10244" width="14" style="49" bestFit="1" customWidth="1"/>
    <col min="10245" max="10248" width="12.85546875" style="49" bestFit="1" customWidth="1"/>
    <col min="10249" max="10496" width="9.140625" style="49" bestFit="1" customWidth="1"/>
    <col min="10497" max="10497" width="5.140625" style="49" bestFit="1" customWidth="1"/>
    <col min="10498" max="10498" width="71.140625" style="49" bestFit="1" customWidth="1"/>
    <col min="10499" max="10499" width="14.28515625" style="49" bestFit="1" customWidth="1"/>
    <col min="10500" max="10500" width="14" style="49" bestFit="1" customWidth="1"/>
    <col min="10501" max="10504" width="12.85546875" style="49" bestFit="1" customWidth="1"/>
    <col min="10505" max="10752" width="9.140625" style="49" bestFit="1" customWidth="1"/>
    <col min="10753" max="10753" width="5.140625" style="49" bestFit="1" customWidth="1"/>
    <col min="10754" max="10754" width="71.140625" style="49" bestFit="1" customWidth="1"/>
    <col min="10755" max="10755" width="14.28515625" style="49" bestFit="1" customWidth="1"/>
    <col min="10756" max="10756" width="14" style="49" bestFit="1" customWidth="1"/>
    <col min="10757" max="10760" width="12.85546875" style="49" bestFit="1" customWidth="1"/>
    <col min="10761" max="11008" width="9.140625" style="49" bestFit="1" customWidth="1"/>
    <col min="11009" max="11009" width="5.140625" style="49" bestFit="1" customWidth="1"/>
    <col min="11010" max="11010" width="71.140625" style="49" bestFit="1" customWidth="1"/>
    <col min="11011" max="11011" width="14.28515625" style="49" bestFit="1" customWidth="1"/>
    <col min="11012" max="11012" width="14" style="49" bestFit="1" customWidth="1"/>
    <col min="11013" max="11016" width="12.85546875" style="49" bestFit="1" customWidth="1"/>
    <col min="11017" max="11264" width="9.140625" style="49" bestFit="1" customWidth="1"/>
    <col min="11265" max="11265" width="5.140625" style="49" bestFit="1" customWidth="1"/>
    <col min="11266" max="11266" width="71.140625" style="49" bestFit="1" customWidth="1"/>
    <col min="11267" max="11267" width="14.28515625" style="49" bestFit="1" customWidth="1"/>
    <col min="11268" max="11268" width="14" style="49" bestFit="1" customWidth="1"/>
    <col min="11269" max="11272" width="12.85546875" style="49" bestFit="1" customWidth="1"/>
    <col min="11273" max="11520" width="9.140625" style="49" bestFit="1" customWidth="1"/>
    <col min="11521" max="11521" width="5.140625" style="49" bestFit="1" customWidth="1"/>
    <col min="11522" max="11522" width="71.140625" style="49" bestFit="1" customWidth="1"/>
    <col min="11523" max="11523" width="14.28515625" style="49" bestFit="1" customWidth="1"/>
    <col min="11524" max="11524" width="14" style="49" bestFit="1" customWidth="1"/>
    <col min="11525" max="11528" width="12.85546875" style="49" bestFit="1" customWidth="1"/>
    <col min="11529" max="11776" width="9.140625" style="49" bestFit="1" customWidth="1"/>
    <col min="11777" max="11777" width="5.140625" style="49" bestFit="1" customWidth="1"/>
    <col min="11778" max="11778" width="71.140625" style="49" bestFit="1" customWidth="1"/>
    <col min="11779" max="11779" width="14.28515625" style="49" bestFit="1" customWidth="1"/>
    <col min="11780" max="11780" width="14" style="49" bestFit="1" customWidth="1"/>
    <col min="11781" max="11784" width="12.85546875" style="49" bestFit="1" customWidth="1"/>
    <col min="11785" max="12032" width="9.140625" style="49" bestFit="1" customWidth="1"/>
    <col min="12033" max="12033" width="5.140625" style="49" bestFit="1" customWidth="1"/>
    <col min="12034" max="12034" width="71.140625" style="49" bestFit="1" customWidth="1"/>
    <col min="12035" max="12035" width="14.28515625" style="49" bestFit="1" customWidth="1"/>
    <col min="12036" max="12036" width="14" style="49" bestFit="1" customWidth="1"/>
    <col min="12037" max="12040" width="12.85546875" style="49" bestFit="1" customWidth="1"/>
    <col min="12041" max="12288" width="9.140625" style="49" bestFit="1" customWidth="1"/>
    <col min="12289" max="12289" width="5.140625" style="49" bestFit="1" customWidth="1"/>
    <col min="12290" max="12290" width="71.140625" style="49" bestFit="1" customWidth="1"/>
    <col min="12291" max="12291" width="14.28515625" style="49" bestFit="1" customWidth="1"/>
    <col min="12292" max="12292" width="14" style="49" bestFit="1" customWidth="1"/>
    <col min="12293" max="12296" width="12.85546875" style="49" bestFit="1" customWidth="1"/>
    <col min="12297" max="12544" width="9.140625" style="49" bestFit="1" customWidth="1"/>
    <col min="12545" max="12545" width="5.140625" style="49" bestFit="1" customWidth="1"/>
    <col min="12546" max="12546" width="71.140625" style="49" bestFit="1" customWidth="1"/>
    <col min="12547" max="12547" width="14.28515625" style="49" bestFit="1" customWidth="1"/>
    <col min="12548" max="12548" width="14" style="49" bestFit="1" customWidth="1"/>
    <col min="12549" max="12552" width="12.85546875" style="49" bestFit="1" customWidth="1"/>
    <col min="12553" max="12800" width="9.140625" style="49" bestFit="1" customWidth="1"/>
    <col min="12801" max="12801" width="5.140625" style="49" bestFit="1" customWidth="1"/>
    <col min="12802" max="12802" width="71.140625" style="49" bestFit="1" customWidth="1"/>
    <col min="12803" max="12803" width="14.28515625" style="49" bestFit="1" customWidth="1"/>
    <col min="12804" max="12804" width="14" style="49" bestFit="1" customWidth="1"/>
    <col min="12805" max="12808" width="12.85546875" style="49" bestFit="1" customWidth="1"/>
    <col min="12809" max="13056" width="9.140625" style="49" bestFit="1" customWidth="1"/>
    <col min="13057" max="13057" width="5.140625" style="49" bestFit="1" customWidth="1"/>
    <col min="13058" max="13058" width="71.140625" style="49" bestFit="1" customWidth="1"/>
    <col min="13059" max="13059" width="14.28515625" style="49" bestFit="1" customWidth="1"/>
    <col min="13060" max="13060" width="14" style="49" bestFit="1" customWidth="1"/>
    <col min="13061" max="13064" width="12.85546875" style="49" bestFit="1" customWidth="1"/>
    <col min="13065" max="13312" width="9.140625" style="49" bestFit="1" customWidth="1"/>
    <col min="13313" max="13313" width="5.140625" style="49" bestFit="1" customWidth="1"/>
    <col min="13314" max="13314" width="71.140625" style="49" bestFit="1" customWidth="1"/>
    <col min="13315" max="13315" width="14.28515625" style="49" bestFit="1" customWidth="1"/>
    <col min="13316" max="13316" width="14" style="49" bestFit="1" customWidth="1"/>
    <col min="13317" max="13320" width="12.85546875" style="49" bestFit="1" customWidth="1"/>
    <col min="13321" max="13568" width="9.140625" style="49" bestFit="1" customWidth="1"/>
    <col min="13569" max="13569" width="5.140625" style="49" bestFit="1" customWidth="1"/>
    <col min="13570" max="13570" width="71.140625" style="49" bestFit="1" customWidth="1"/>
    <col min="13571" max="13571" width="14.28515625" style="49" bestFit="1" customWidth="1"/>
    <col min="13572" max="13572" width="14" style="49" bestFit="1" customWidth="1"/>
    <col min="13573" max="13576" width="12.85546875" style="49" bestFit="1" customWidth="1"/>
    <col min="13577" max="13824" width="9.140625" style="49" bestFit="1" customWidth="1"/>
    <col min="13825" max="13825" width="5.140625" style="49" bestFit="1" customWidth="1"/>
    <col min="13826" max="13826" width="71.140625" style="49" bestFit="1" customWidth="1"/>
    <col min="13827" max="13827" width="14.28515625" style="49" bestFit="1" customWidth="1"/>
    <col min="13828" max="13828" width="14" style="49" bestFit="1" customWidth="1"/>
    <col min="13829" max="13832" width="12.85546875" style="49" bestFit="1" customWidth="1"/>
    <col min="13833" max="14080" width="9.140625" style="49" bestFit="1" customWidth="1"/>
    <col min="14081" max="14081" width="5.140625" style="49" bestFit="1" customWidth="1"/>
    <col min="14082" max="14082" width="71.140625" style="49" bestFit="1" customWidth="1"/>
    <col min="14083" max="14083" width="14.28515625" style="49" bestFit="1" customWidth="1"/>
    <col min="14084" max="14084" width="14" style="49" bestFit="1" customWidth="1"/>
    <col min="14085" max="14088" width="12.85546875" style="49" bestFit="1" customWidth="1"/>
    <col min="14089" max="14336" width="9.140625" style="49" bestFit="1" customWidth="1"/>
    <col min="14337" max="14337" width="5.140625" style="49" bestFit="1" customWidth="1"/>
    <col min="14338" max="14338" width="71.140625" style="49" bestFit="1" customWidth="1"/>
    <col min="14339" max="14339" width="14.28515625" style="49" bestFit="1" customWidth="1"/>
    <col min="14340" max="14340" width="14" style="49" bestFit="1" customWidth="1"/>
    <col min="14341" max="14344" width="12.85546875" style="49" bestFit="1" customWidth="1"/>
    <col min="14345" max="14592" width="9.140625" style="49" bestFit="1" customWidth="1"/>
    <col min="14593" max="14593" width="5.140625" style="49" bestFit="1" customWidth="1"/>
    <col min="14594" max="14594" width="71.140625" style="49" bestFit="1" customWidth="1"/>
    <col min="14595" max="14595" width="14.28515625" style="49" bestFit="1" customWidth="1"/>
    <col min="14596" max="14596" width="14" style="49" bestFit="1" customWidth="1"/>
    <col min="14597" max="14600" width="12.85546875" style="49" bestFit="1" customWidth="1"/>
    <col min="14601" max="14848" width="9.140625" style="49" bestFit="1" customWidth="1"/>
    <col min="14849" max="14849" width="5.140625" style="49" bestFit="1" customWidth="1"/>
    <col min="14850" max="14850" width="71.140625" style="49" bestFit="1" customWidth="1"/>
    <col min="14851" max="14851" width="14.28515625" style="49" bestFit="1" customWidth="1"/>
    <col min="14852" max="14852" width="14" style="49" bestFit="1" customWidth="1"/>
    <col min="14853" max="14856" width="12.85546875" style="49" bestFit="1" customWidth="1"/>
    <col min="14857" max="15104" width="9.140625" style="49" bestFit="1" customWidth="1"/>
    <col min="15105" max="15105" width="5.140625" style="49" bestFit="1" customWidth="1"/>
    <col min="15106" max="15106" width="71.140625" style="49" bestFit="1" customWidth="1"/>
    <col min="15107" max="15107" width="14.28515625" style="49" bestFit="1" customWidth="1"/>
    <col min="15108" max="15108" width="14" style="49" bestFit="1" customWidth="1"/>
    <col min="15109" max="15112" width="12.85546875" style="49" bestFit="1" customWidth="1"/>
    <col min="15113" max="15360" width="9.140625" style="49" bestFit="1" customWidth="1"/>
    <col min="15361" max="15361" width="5.140625" style="49" bestFit="1" customWidth="1"/>
    <col min="15362" max="15362" width="71.140625" style="49" bestFit="1" customWidth="1"/>
    <col min="15363" max="15363" width="14.28515625" style="49" bestFit="1" customWidth="1"/>
    <col min="15364" max="15364" width="14" style="49" bestFit="1" customWidth="1"/>
    <col min="15365" max="15368" width="12.85546875" style="49" bestFit="1" customWidth="1"/>
    <col min="15369" max="15616" width="9.140625" style="49" bestFit="1" customWidth="1"/>
    <col min="15617" max="15617" width="5.140625" style="49" bestFit="1" customWidth="1"/>
    <col min="15618" max="15618" width="71.140625" style="49" bestFit="1" customWidth="1"/>
    <col min="15619" max="15619" width="14.28515625" style="49" bestFit="1" customWidth="1"/>
    <col min="15620" max="15620" width="14" style="49" bestFit="1" customWidth="1"/>
    <col min="15621" max="15624" width="12.85546875" style="49" bestFit="1" customWidth="1"/>
    <col min="15625" max="15872" width="9.140625" style="49" bestFit="1" customWidth="1"/>
    <col min="15873" max="15873" width="5.140625" style="49" bestFit="1" customWidth="1"/>
    <col min="15874" max="15874" width="71.140625" style="49" bestFit="1" customWidth="1"/>
    <col min="15875" max="15875" width="14.28515625" style="49" bestFit="1" customWidth="1"/>
    <col min="15876" max="15876" width="14" style="49" bestFit="1" customWidth="1"/>
    <col min="15877" max="15880" width="12.85546875" style="49" bestFit="1" customWidth="1"/>
    <col min="15881" max="16128" width="9.140625" style="49" bestFit="1" customWidth="1"/>
    <col min="16129" max="16129" width="5.140625" style="49" bestFit="1" customWidth="1"/>
    <col min="16130" max="16130" width="71.140625" style="49" bestFit="1" customWidth="1"/>
    <col min="16131" max="16131" width="14.28515625" style="49" bestFit="1" customWidth="1"/>
    <col min="16132" max="16132" width="14" style="49" bestFit="1" customWidth="1"/>
    <col min="16133" max="16136" width="12.85546875" style="49" bestFit="1" customWidth="1"/>
    <col min="16137" max="16384" width="9.140625" style="49" bestFit="1" customWidth="1"/>
  </cols>
  <sheetData>
    <row r="1" spans="1:11" ht="15.75">
      <c r="A1" s="836" t="s">
        <v>254</v>
      </c>
      <c r="B1" s="836"/>
      <c r="C1" s="836"/>
      <c r="D1" s="836"/>
      <c r="E1" s="836"/>
      <c r="F1" s="836"/>
      <c r="G1" s="836"/>
      <c r="H1" s="836"/>
    </row>
    <row r="2" spans="1:11" ht="15.75">
      <c r="A2" s="836"/>
      <c r="B2" s="836"/>
      <c r="C2" s="836"/>
      <c r="D2" s="836"/>
      <c r="E2" s="836"/>
      <c r="F2" s="836"/>
      <c r="G2" s="836"/>
      <c r="H2" s="836"/>
    </row>
    <row r="3" spans="1:11" ht="15.75">
      <c r="A3" s="837" t="s">
        <v>255</v>
      </c>
      <c r="B3" s="837"/>
      <c r="C3" s="837"/>
      <c r="D3" s="837"/>
      <c r="E3" s="837"/>
      <c r="F3" s="837"/>
      <c r="G3" s="837"/>
      <c r="H3" s="837"/>
    </row>
    <row r="4" spans="1:11" ht="15.75" thickBot="1">
      <c r="A4" s="21" t="s">
        <v>256</v>
      </c>
      <c r="B4" s="22" t="s">
        <v>257</v>
      </c>
      <c r="C4" s="23" t="s">
        <v>258</v>
      </c>
      <c r="D4" s="24" t="s">
        <v>259</v>
      </c>
      <c r="E4" s="24" t="s">
        <v>260</v>
      </c>
      <c r="F4" s="24" t="s">
        <v>261</v>
      </c>
      <c r="G4" s="24" t="s">
        <v>262</v>
      </c>
      <c r="H4" s="24" t="s">
        <v>263</v>
      </c>
    </row>
    <row r="5" spans="1:11" ht="21">
      <c r="A5" s="25"/>
      <c r="B5" s="26" t="s">
        <v>264</v>
      </c>
      <c r="C5" s="27"/>
      <c r="D5" s="27"/>
      <c r="E5" s="27"/>
      <c r="F5" s="27"/>
      <c r="G5" s="27"/>
      <c r="H5" s="27"/>
    </row>
    <row r="6" spans="1:11" ht="15.75" thickBot="1">
      <c r="A6" s="28">
        <v>1</v>
      </c>
      <c r="B6" s="29" t="s">
        <v>265</v>
      </c>
      <c r="C6" s="30" t="s">
        <v>266</v>
      </c>
      <c r="D6" s="31">
        <v>56240</v>
      </c>
      <c r="E6" s="31">
        <v>56240</v>
      </c>
      <c r="F6" s="31">
        <v>73240</v>
      </c>
      <c r="G6" s="31">
        <v>73240</v>
      </c>
      <c r="H6" s="31">
        <v>73240</v>
      </c>
    </row>
    <row r="7" spans="1:11" ht="15.75" thickBot="1">
      <c r="A7" s="28">
        <v>2</v>
      </c>
      <c r="B7" s="29" t="s">
        <v>267</v>
      </c>
      <c r="C7" s="30" t="s">
        <v>268</v>
      </c>
      <c r="D7" s="32"/>
      <c r="E7" s="33" t="s">
        <v>251</v>
      </c>
      <c r="F7" s="33">
        <v>22.01</v>
      </c>
      <c r="G7" s="33" t="s">
        <v>251</v>
      </c>
      <c r="H7" s="33" t="s">
        <v>251</v>
      </c>
    </row>
    <row r="8" spans="1:11" ht="15.75" thickBot="1">
      <c r="A8" s="28">
        <v>3</v>
      </c>
      <c r="B8" s="29" t="s">
        <v>269</v>
      </c>
      <c r="C8" s="30" t="s">
        <v>266</v>
      </c>
      <c r="D8" s="31">
        <v>69840</v>
      </c>
      <c r="E8" s="31">
        <v>71540</v>
      </c>
      <c r="F8" s="31">
        <v>73240</v>
      </c>
      <c r="G8" s="257">
        <v>75454</v>
      </c>
      <c r="H8" s="257">
        <v>77778</v>
      </c>
    </row>
    <row r="9" spans="1:11" ht="15.75" thickBot="1">
      <c r="A9" s="28">
        <v>4</v>
      </c>
      <c r="B9" s="29" t="s">
        <v>270</v>
      </c>
      <c r="C9" s="30" t="s">
        <v>271</v>
      </c>
      <c r="D9" s="31">
        <v>11037</v>
      </c>
      <c r="E9" s="31">
        <v>11037</v>
      </c>
      <c r="F9" s="31">
        <v>16845</v>
      </c>
      <c r="G9" s="31">
        <v>16845</v>
      </c>
      <c r="H9" s="31">
        <v>16845</v>
      </c>
    </row>
    <row r="10" spans="1:11" ht="15.75" thickBot="1">
      <c r="A10" s="28">
        <v>5</v>
      </c>
      <c r="B10" s="29" t="s">
        <v>272</v>
      </c>
      <c r="C10" s="30" t="s">
        <v>271</v>
      </c>
      <c r="D10" s="31">
        <v>15529</v>
      </c>
      <c r="E10" s="31">
        <v>16176</v>
      </c>
      <c r="F10" s="31">
        <v>16845</v>
      </c>
      <c r="G10" s="275">
        <v>17354</v>
      </c>
      <c r="H10" s="257">
        <v>17831</v>
      </c>
      <c r="J10" s="20" t="s">
        <v>13</v>
      </c>
      <c r="K10" s="273">
        <f>(H8-G8)/G8</f>
        <v>3.0800222652211943E-2</v>
      </c>
    </row>
    <row r="11" spans="1:11" ht="15.75" thickBot="1">
      <c r="A11" s="28">
        <v>6</v>
      </c>
      <c r="B11" s="29" t="s">
        <v>273</v>
      </c>
      <c r="C11" s="30" t="s">
        <v>266</v>
      </c>
      <c r="D11" s="34">
        <f>D6/D9</f>
        <v>5.0955875690858026</v>
      </c>
      <c r="E11" s="33">
        <v>5.0999999999999996</v>
      </c>
      <c r="F11" s="33">
        <v>5.46</v>
      </c>
      <c r="G11" s="33">
        <v>5.46</v>
      </c>
      <c r="H11" s="33">
        <v>5.46</v>
      </c>
      <c r="J11" s="20" t="s">
        <v>956</v>
      </c>
      <c r="K11" s="273">
        <f>ROUND(H8*(1+K10),0)</f>
        <v>80174</v>
      </c>
    </row>
    <row r="12" spans="1:11" ht="15.75" thickBot="1">
      <c r="A12" s="28">
        <v>7</v>
      </c>
      <c r="B12" s="29" t="s">
        <v>274</v>
      </c>
      <c r="C12" s="30" t="s">
        <v>266</v>
      </c>
      <c r="D12" s="34">
        <f>D8/D10</f>
        <v>4.497391976302402</v>
      </c>
      <c r="E12" s="33">
        <v>4.79</v>
      </c>
      <c r="F12" s="33">
        <v>4.79</v>
      </c>
      <c r="G12" s="33">
        <v>4.3499999999999996</v>
      </c>
      <c r="H12" s="33">
        <v>4.3600000000000003</v>
      </c>
      <c r="J12" s="20" t="s">
        <v>955</v>
      </c>
      <c r="K12" s="273">
        <f>ROUND(K11/H12,0)</f>
        <v>18389</v>
      </c>
    </row>
    <row r="13" spans="1:11" ht="15.75" thickBot="1">
      <c r="A13" s="28">
        <v>8</v>
      </c>
      <c r="B13" s="29" t="s">
        <v>275</v>
      </c>
      <c r="C13" s="30" t="s">
        <v>271</v>
      </c>
      <c r="D13" s="32"/>
      <c r="E13" s="33" t="s">
        <v>250</v>
      </c>
      <c r="F13" s="33" t="s">
        <v>250</v>
      </c>
      <c r="G13" s="31">
        <v>8</v>
      </c>
      <c r="H13" s="31">
        <v>8</v>
      </c>
      <c r="K13" s="299"/>
    </row>
    <row r="14" spans="1:11" ht="15.75" thickBot="1">
      <c r="A14" s="28">
        <v>9</v>
      </c>
      <c r="B14" s="29" t="s">
        <v>276</v>
      </c>
      <c r="C14" s="30" t="s">
        <v>271</v>
      </c>
      <c r="D14" s="31">
        <v>2500</v>
      </c>
      <c r="E14" s="31">
        <v>9</v>
      </c>
      <c r="F14" s="31">
        <v>8</v>
      </c>
      <c r="G14" s="31">
        <v>8</v>
      </c>
      <c r="H14" s="31">
        <v>8</v>
      </c>
    </row>
    <row r="15" spans="1:11" ht="15.75" thickBot="1">
      <c r="A15" s="28">
        <v>10</v>
      </c>
      <c r="B15" s="29" t="s">
        <v>277</v>
      </c>
      <c r="C15" s="30" t="s">
        <v>271</v>
      </c>
      <c r="D15" s="32"/>
      <c r="E15" s="33" t="s">
        <v>250</v>
      </c>
      <c r="F15" s="33" t="s">
        <v>250</v>
      </c>
      <c r="G15" s="31">
        <v>1571</v>
      </c>
      <c r="H15" s="31">
        <v>1571</v>
      </c>
    </row>
    <row r="16" spans="1:11" ht="15.75" thickBot="1">
      <c r="A16" s="28">
        <v>11</v>
      </c>
      <c r="B16" s="29" t="s">
        <v>278</v>
      </c>
      <c r="C16" s="30" t="s">
        <v>271</v>
      </c>
      <c r="D16" s="31">
        <v>2500</v>
      </c>
      <c r="E16" s="31">
        <v>1604</v>
      </c>
      <c r="F16" s="31">
        <v>1571</v>
      </c>
      <c r="G16" s="31">
        <v>1571</v>
      </c>
      <c r="H16" s="31">
        <v>1608</v>
      </c>
    </row>
    <row r="17" spans="1:11" ht="15.75" thickBot="1">
      <c r="A17" s="28">
        <v>12</v>
      </c>
      <c r="B17" s="29" t="s">
        <v>279</v>
      </c>
      <c r="C17" s="30" t="s">
        <v>271</v>
      </c>
      <c r="D17" s="32"/>
      <c r="E17" s="33" t="s">
        <v>250</v>
      </c>
      <c r="F17" s="31">
        <v>26764</v>
      </c>
      <c r="G17" s="31">
        <v>26764</v>
      </c>
      <c r="H17" s="31">
        <v>26764</v>
      </c>
    </row>
    <row r="18" spans="1:11" ht="15.75" thickBot="1">
      <c r="A18" s="28">
        <v>13</v>
      </c>
      <c r="B18" s="29" t="s">
        <v>280</v>
      </c>
      <c r="C18" s="30" t="s">
        <v>271</v>
      </c>
      <c r="D18" s="31">
        <v>17362</v>
      </c>
      <c r="E18" s="31">
        <v>26022</v>
      </c>
      <c r="F18" s="31">
        <v>26764</v>
      </c>
      <c r="G18" s="31">
        <v>27789</v>
      </c>
      <c r="H18" s="31">
        <v>28550</v>
      </c>
      <c r="J18" s="20" t="s">
        <v>962</v>
      </c>
      <c r="K18" s="273">
        <f>ROUND((1+((H18-G18)/G18))*H18,0)</f>
        <v>29332</v>
      </c>
    </row>
    <row r="19" spans="1:11" ht="15.75" thickBot="1">
      <c r="A19" s="28">
        <v>14</v>
      </c>
      <c r="B19" s="29" t="s">
        <v>281</v>
      </c>
      <c r="C19" s="30" t="s">
        <v>271</v>
      </c>
      <c r="D19" s="32"/>
      <c r="E19" s="33" t="s">
        <v>250</v>
      </c>
      <c r="F19" s="31">
        <v>12</v>
      </c>
      <c r="G19" s="31">
        <v>12</v>
      </c>
      <c r="H19" s="31">
        <v>12</v>
      </c>
    </row>
    <row r="20" spans="1:11" ht="15.75" thickBot="1">
      <c r="A20" s="28">
        <v>15</v>
      </c>
      <c r="B20" s="29" t="s">
        <v>282</v>
      </c>
      <c r="C20" s="30" t="s">
        <v>271</v>
      </c>
      <c r="D20" s="32"/>
      <c r="E20" s="31">
        <v>12</v>
      </c>
      <c r="F20" s="31">
        <v>12</v>
      </c>
      <c r="G20" s="31">
        <v>12</v>
      </c>
      <c r="H20" s="31">
        <v>12</v>
      </c>
    </row>
    <row r="21" spans="1:11" ht="15.75" thickBot="1">
      <c r="A21" s="28">
        <v>16</v>
      </c>
      <c r="B21" s="29" t="s">
        <v>283</v>
      </c>
      <c r="C21" s="30" t="s">
        <v>195</v>
      </c>
      <c r="D21" s="33">
        <v>19.579999999999998</v>
      </c>
      <c r="E21" s="33">
        <v>19.579999999999998</v>
      </c>
      <c r="F21" s="33">
        <v>19.579999999999998</v>
      </c>
      <c r="G21" s="33">
        <v>19.579999999999998</v>
      </c>
      <c r="H21" s="33">
        <v>19.579999999999998</v>
      </c>
    </row>
    <row r="22" spans="1:11" ht="15.75" thickBot="1">
      <c r="A22" s="28">
        <v>17</v>
      </c>
      <c r="B22" s="29" t="s">
        <v>284</v>
      </c>
      <c r="C22" s="30" t="s">
        <v>195</v>
      </c>
      <c r="D22" s="33">
        <v>19.579999999999998</v>
      </c>
      <c r="E22" s="33">
        <v>25</v>
      </c>
      <c r="F22" s="33">
        <v>25</v>
      </c>
      <c r="G22" s="33">
        <v>19.579999999999998</v>
      </c>
      <c r="H22" s="33">
        <v>19.579999999999998</v>
      </c>
    </row>
    <row r="23" spans="1:11" ht="15.75" thickBot="1">
      <c r="A23" s="28">
        <v>18</v>
      </c>
      <c r="B23" s="29" t="s">
        <v>285</v>
      </c>
      <c r="C23" s="30" t="s">
        <v>271</v>
      </c>
      <c r="D23" s="32"/>
      <c r="E23" s="33">
        <v>2858</v>
      </c>
      <c r="F23" s="33">
        <v>2930</v>
      </c>
      <c r="G23" s="33">
        <v>3822</v>
      </c>
      <c r="H23" s="33">
        <v>3972</v>
      </c>
    </row>
    <row r="24" spans="1:11" ht="26.25" thickBot="1">
      <c r="A24" s="28">
        <v>19</v>
      </c>
      <c r="B24" s="35" t="s">
        <v>286</v>
      </c>
      <c r="C24" s="30" t="s">
        <v>271</v>
      </c>
      <c r="D24" s="32"/>
      <c r="E24" s="33" t="s">
        <v>250</v>
      </c>
      <c r="F24" s="31">
        <v>704</v>
      </c>
      <c r="G24" s="31">
        <v>704</v>
      </c>
      <c r="H24" s="31">
        <v>704</v>
      </c>
    </row>
    <row r="25" spans="1:11" ht="39" thickBot="1">
      <c r="A25" s="28">
        <v>20</v>
      </c>
      <c r="B25" s="35" t="s">
        <v>83</v>
      </c>
      <c r="C25" s="30" t="s">
        <v>271</v>
      </c>
      <c r="D25" s="31">
        <v>7266</v>
      </c>
      <c r="E25" s="31">
        <v>704</v>
      </c>
      <c r="F25" s="31">
        <v>704</v>
      </c>
      <c r="G25" s="31">
        <v>7944</v>
      </c>
      <c r="H25" s="31">
        <v>8138</v>
      </c>
      <c r="J25" s="20" t="s">
        <v>964</v>
      </c>
      <c r="K25" s="273">
        <f>ROUND((1+((H25-G25)/G25))*H25,0)</f>
        <v>8337</v>
      </c>
    </row>
    <row r="26" spans="1:11" ht="15.75" thickBot="1">
      <c r="A26" s="834"/>
      <c r="B26" s="834"/>
      <c r="C26" s="834"/>
      <c r="D26" s="834"/>
      <c r="E26" s="834"/>
      <c r="F26" s="36"/>
      <c r="G26" s="36"/>
      <c r="H26" s="36"/>
    </row>
    <row r="27" spans="1:11" ht="21">
      <c r="A27" s="37"/>
      <c r="B27" s="26" t="s">
        <v>287</v>
      </c>
      <c r="C27" s="27"/>
      <c r="D27" s="27"/>
      <c r="E27" s="38"/>
      <c r="F27" s="38"/>
      <c r="G27" s="38"/>
      <c r="H27" s="38"/>
    </row>
    <row r="28" spans="1:11" ht="15.75" thickBot="1">
      <c r="A28" s="28">
        <v>21</v>
      </c>
      <c r="B28" s="35" t="s">
        <v>288</v>
      </c>
      <c r="C28" s="30"/>
      <c r="D28" s="39"/>
      <c r="E28" s="39"/>
      <c r="F28" s="39"/>
      <c r="G28" s="39"/>
      <c r="H28" s="39"/>
    </row>
    <row r="29" spans="1:11" ht="15.75" thickBot="1">
      <c r="A29" s="28">
        <v>22</v>
      </c>
      <c r="B29" s="35" t="s">
        <v>289</v>
      </c>
      <c r="C29" s="30"/>
      <c r="D29" s="40"/>
      <c r="E29" s="39"/>
      <c r="F29" s="39"/>
      <c r="G29" s="39"/>
      <c r="H29" s="39"/>
    </row>
    <row r="30" spans="1:11" ht="15.75" thickBot="1">
      <c r="A30" s="28">
        <v>23</v>
      </c>
      <c r="B30" s="35" t="s">
        <v>290</v>
      </c>
      <c r="C30" s="30"/>
      <c r="D30" s="40"/>
      <c r="E30" s="39"/>
      <c r="F30" s="39"/>
      <c r="G30" s="39"/>
      <c r="H30" s="39"/>
    </row>
    <row r="31" spans="1:11" ht="15.75" thickBot="1">
      <c r="A31" s="28">
        <v>24</v>
      </c>
      <c r="B31" s="35" t="s">
        <v>291</v>
      </c>
      <c r="C31" s="30"/>
      <c r="D31" s="40"/>
      <c r="E31" s="39"/>
      <c r="F31" s="39"/>
      <c r="G31" s="39"/>
      <c r="H31" s="39"/>
    </row>
    <row r="32" spans="1:11" ht="15.75" thickBot="1">
      <c r="A32" s="28">
        <v>25</v>
      </c>
      <c r="B32" s="35" t="s">
        <v>292</v>
      </c>
      <c r="C32" s="30"/>
      <c r="D32" s="40"/>
      <c r="E32" s="39"/>
      <c r="F32" s="39"/>
      <c r="G32" s="39"/>
      <c r="H32" s="39"/>
    </row>
    <row r="33" spans="1:8" ht="15.75" thickBot="1">
      <c r="A33" s="28">
        <v>26</v>
      </c>
      <c r="B33" s="35" t="s">
        <v>293</v>
      </c>
      <c r="C33" s="30"/>
      <c r="D33" s="40"/>
      <c r="E33" s="39"/>
      <c r="F33" s="39"/>
      <c r="G33" s="39"/>
      <c r="H33" s="39"/>
    </row>
    <row r="34" spans="1:8" ht="15.75" thickBot="1">
      <c r="A34" s="28">
        <v>27</v>
      </c>
      <c r="B34" s="35" t="s">
        <v>294</v>
      </c>
      <c r="C34" s="30"/>
      <c r="D34" s="40"/>
      <c r="E34" s="39"/>
      <c r="F34" s="39"/>
      <c r="G34" s="39"/>
      <c r="H34" s="39"/>
    </row>
    <row r="35" spans="1:8" ht="15.75" thickBot="1">
      <c r="A35" s="28">
        <v>28</v>
      </c>
      <c r="B35" s="35" t="s">
        <v>295</v>
      </c>
      <c r="C35" s="30"/>
      <c r="D35" s="40"/>
      <c r="E35" s="39"/>
      <c r="F35" s="39"/>
      <c r="G35" s="39"/>
      <c r="H35" s="39"/>
    </row>
    <row r="36" spans="1:8" ht="15.75" thickBot="1">
      <c r="A36" s="28">
        <v>29</v>
      </c>
      <c r="B36" s="35" t="s">
        <v>296</v>
      </c>
      <c r="C36" s="30"/>
      <c r="D36" s="40"/>
      <c r="E36" s="39"/>
      <c r="F36" s="39"/>
      <c r="G36" s="39"/>
      <c r="H36" s="39"/>
    </row>
    <row r="37" spans="1:8" ht="15.75" thickBot="1">
      <c r="A37" s="28">
        <v>30</v>
      </c>
      <c r="B37" s="35" t="s">
        <v>297</v>
      </c>
      <c r="C37" s="30"/>
      <c r="D37" s="40"/>
      <c r="E37" s="39"/>
      <c r="F37" s="39"/>
      <c r="G37" s="39"/>
      <c r="H37" s="39"/>
    </row>
    <row r="38" spans="1:8" ht="15.75" thickBot="1">
      <c r="A38" s="28">
        <v>31</v>
      </c>
      <c r="B38" s="35" t="s">
        <v>298</v>
      </c>
      <c r="C38" s="30"/>
      <c r="D38" s="40"/>
      <c r="E38" s="39"/>
      <c r="F38" s="39"/>
      <c r="G38" s="39"/>
      <c r="H38" s="39"/>
    </row>
    <row r="39" spans="1:8" ht="15.75" thickBot="1">
      <c r="A39" s="28">
        <v>32</v>
      </c>
      <c r="B39" s="35" t="s">
        <v>299</v>
      </c>
      <c r="C39" s="30"/>
      <c r="D39" s="40"/>
      <c r="E39" s="39"/>
      <c r="F39" s="39"/>
      <c r="G39" s="39"/>
      <c r="H39" s="39"/>
    </row>
    <row r="40" spans="1:8" ht="15.75" thickBot="1">
      <c r="A40" s="28">
        <v>33</v>
      </c>
      <c r="B40" s="35" t="s">
        <v>292</v>
      </c>
      <c r="C40" s="30"/>
      <c r="D40" s="40"/>
      <c r="E40" s="39"/>
      <c r="F40" s="39"/>
      <c r="G40" s="39"/>
      <c r="H40" s="39"/>
    </row>
    <row r="41" spans="1:8" ht="15.75" thickBot="1">
      <c r="A41" s="28">
        <v>34</v>
      </c>
      <c r="B41" s="35" t="s">
        <v>293</v>
      </c>
      <c r="C41" s="30"/>
      <c r="D41" s="40"/>
      <c r="E41" s="39"/>
      <c r="F41" s="39"/>
      <c r="G41" s="39"/>
      <c r="H41" s="39"/>
    </row>
    <row r="42" spans="1:8" ht="15.75" thickBot="1">
      <c r="A42" s="28">
        <v>35</v>
      </c>
      <c r="B42" s="35" t="s">
        <v>294</v>
      </c>
      <c r="C42" s="30"/>
      <c r="D42" s="40"/>
      <c r="E42" s="39"/>
      <c r="F42" s="39"/>
      <c r="G42" s="39"/>
      <c r="H42" s="39"/>
    </row>
    <row r="43" spans="1:8" ht="15.75" thickBot="1">
      <c r="A43" s="28">
        <v>36</v>
      </c>
      <c r="B43" s="35" t="s">
        <v>295</v>
      </c>
      <c r="C43" s="30"/>
      <c r="D43" s="40"/>
      <c r="E43" s="39"/>
      <c r="F43" s="39"/>
      <c r="G43" s="39"/>
      <c r="H43" s="39"/>
    </row>
    <row r="44" spans="1:8" ht="15.75" thickBot="1">
      <c r="A44" s="28">
        <v>37</v>
      </c>
      <c r="B44" s="35" t="s">
        <v>296</v>
      </c>
      <c r="C44" s="30"/>
      <c r="D44" s="40"/>
      <c r="E44" s="39"/>
      <c r="F44" s="39"/>
      <c r="G44" s="39"/>
      <c r="H44" s="39"/>
    </row>
    <row r="45" spans="1:8" ht="15.75" thickBot="1">
      <c r="A45" s="28">
        <v>38</v>
      </c>
      <c r="B45" s="35" t="s">
        <v>297</v>
      </c>
      <c r="C45" s="30"/>
      <c r="D45" s="40"/>
      <c r="E45" s="39"/>
      <c r="F45" s="39"/>
      <c r="G45" s="39"/>
      <c r="H45" s="39"/>
    </row>
    <row r="46" spans="1:8">
      <c r="A46" s="41"/>
      <c r="B46" s="42"/>
      <c r="C46" s="43"/>
      <c r="D46" s="43"/>
      <c r="E46" s="43"/>
      <c r="F46" s="43"/>
      <c r="G46" s="43"/>
      <c r="H46" s="43"/>
    </row>
    <row r="47" spans="1:8">
      <c r="A47" s="41"/>
      <c r="B47" s="42"/>
      <c r="C47" s="44"/>
      <c r="D47" s="44"/>
      <c r="E47" s="44"/>
      <c r="F47" s="44"/>
      <c r="G47" s="44"/>
      <c r="H47" s="44"/>
    </row>
    <row r="48" spans="1:8">
      <c r="A48" s="41"/>
      <c r="B48" s="42"/>
      <c r="C48" s="44"/>
      <c r="D48" s="44"/>
      <c r="E48" s="44"/>
      <c r="F48" s="44"/>
      <c r="G48" s="44"/>
      <c r="H48" s="44"/>
    </row>
    <row r="49" spans="1:8">
      <c r="A49" s="41"/>
      <c r="B49" s="42"/>
      <c r="C49" s="44"/>
      <c r="D49" s="44"/>
      <c r="E49" s="44"/>
      <c r="F49" s="44"/>
      <c r="G49" s="44"/>
      <c r="H49" s="44"/>
    </row>
    <row r="50" spans="1:8">
      <c r="A50" s="41"/>
      <c r="B50" s="42"/>
      <c r="C50" s="44"/>
      <c r="D50" s="44"/>
      <c r="E50" s="44"/>
      <c r="F50" s="44"/>
      <c r="G50" s="44"/>
      <c r="H50" s="44"/>
    </row>
    <row r="51" spans="1:8">
      <c r="A51" s="41"/>
      <c r="B51" s="42"/>
      <c r="C51" s="44"/>
      <c r="D51" s="44"/>
      <c r="E51" s="44"/>
      <c r="F51" s="44"/>
      <c r="G51" s="44"/>
      <c r="H51" s="44"/>
    </row>
    <row r="52" spans="1:8">
      <c r="A52" s="41"/>
      <c r="B52" s="42"/>
      <c r="C52" s="44"/>
      <c r="D52" s="44"/>
      <c r="E52" s="44"/>
      <c r="F52" s="44"/>
      <c r="G52" s="44"/>
      <c r="H52" s="44"/>
    </row>
    <row r="53" spans="1:8" ht="15.75" thickBot="1">
      <c r="A53" s="45"/>
      <c r="B53" s="46"/>
      <c r="C53" s="46"/>
      <c r="D53" s="46"/>
      <c r="E53" s="46"/>
      <c r="F53" s="46"/>
      <c r="G53" s="46"/>
      <c r="H53" s="46"/>
    </row>
    <row r="54" spans="1:8" ht="21">
      <c r="A54" s="37"/>
      <c r="B54" s="26" t="s">
        <v>300</v>
      </c>
      <c r="C54" s="27"/>
      <c r="D54" s="27"/>
      <c r="E54" s="38"/>
      <c r="F54" s="38"/>
      <c r="G54" s="38"/>
      <c r="H54" s="38"/>
    </row>
    <row r="55" spans="1:8" ht="15.75" thickBot="1">
      <c r="A55" s="28">
        <v>39</v>
      </c>
      <c r="B55" s="35" t="s">
        <v>301</v>
      </c>
      <c r="C55" s="30"/>
      <c r="D55" s="39"/>
      <c r="E55" s="39"/>
      <c r="F55" s="39"/>
      <c r="G55" s="39"/>
      <c r="H55" s="39"/>
    </row>
    <row r="56" spans="1:8" ht="15.75" thickBot="1">
      <c r="A56" s="28">
        <v>40</v>
      </c>
      <c r="B56" s="35" t="s">
        <v>289</v>
      </c>
      <c r="C56" s="30"/>
      <c r="D56" s="40"/>
      <c r="E56" s="39"/>
      <c r="F56" s="39"/>
      <c r="G56" s="39"/>
      <c r="H56" s="39"/>
    </row>
    <row r="57" spans="1:8" ht="15.75" thickBot="1">
      <c r="A57" s="28">
        <v>41</v>
      </c>
      <c r="B57" s="35" t="s">
        <v>290</v>
      </c>
      <c r="C57" s="30"/>
      <c r="D57" s="40"/>
      <c r="E57" s="39"/>
      <c r="F57" s="39"/>
      <c r="G57" s="39"/>
      <c r="H57" s="39"/>
    </row>
    <row r="58" spans="1:8" ht="15.75" thickBot="1">
      <c r="A58" s="28">
        <v>42</v>
      </c>
      <c r="B58" s="35" t="s">
        <v>291</v>
      </c>
      <c r="C58" s="30"/>
      <c r="D58" s="40"/>
      <c r="E58" s="39"/>
      <c r="F58" s="39"/>
      <c r="G58" s="39"/>
      <c r="H58" s="39"/>
    </row>
    <row r="59" spans="1:8" ht="15.75" thickBot="1">
      <c r="A59" s="28">
        <v>43</v>
      </c>
      <c r="B59" s="35" t="s">
        <v>292</v>
      </c>
      <c r="C59" s="30"/>
      <c r="D59" s="40"/>
      <c r="E59" s="39"/>
      <c r="F59" s="39"/>
      <c r="G59" s="39"/>
      <c r="H59" s="39"/>
    </row>
    <row r="60" spans="1:8" ht="15.75" thickBot="1">
      <c r="A60" s="28">
        <v>44</v>
      </c>
      <c r="B60" s="35" t="s">
        <v>293</v>
      </c>
      <c r="C60" s="30"/>
      <c r="D60" s="40"/>
      <c r="E60" s="39"/>
      <c r="F60" s="39"/>
      <c r="G60" s="39"/>
      <c r="H60" s="39"/>
    </row>
    <row r="61" spans="1:8" ht="15.75" thickBot="1">
      <c r="A61" s="28">
        <v>45</v>
      </c>
      <c r="B61" s="35" t="s">
        <v>294</v>
      </c>
      <c r="C61" s="30"/>
      <c r="D61" s="40"/>
      <c r="E61" s="39"/>
      <c r="F61" s="39"/>
      <c r="G61" s="39"/>
      <c r="H61" s="39"/>
    </row>
    <row r="62" spans="1:8" ht="15.75" thickBot="1">
      <c r="A62" s="28">
        <v>46</v>
      </c>
      <c r="B62" s="35" t="s">
        <v>295</v>
      </c>
      <c r="C62" s="30"/>
      <c r="D62" s="40"/>
      <c r="E62" s="39"/>
      <c r="F62" s="39"/>
      <c r="G62" s="39"/>
      <c r="H62" s="39"/>
    </row>
    <row r="63" spans="1:8" ht="15.75" thickBot="1">
      <c r="A63" s="28">
        <v>47</v>
      </c>
      <c r="B63" s="35" t="s">
        <v>302</v>
      </c>
      <c r="C63" s="30"/>
      <c r="D63" s="40"/>
      <c r="E63" s="39"/>
      <c r="F63" s="39"/>
      <c r="G63" s="39"/>
      <c r="H63" s="39"/>
    </row>
    <row r="64" spans="1:8" ht="15.75" thickBot="1">
      <c r="A64" s="28">
        <v>48</v>
      </c>
      <c r="B64" s="35" t="s">
        <v>297</v>
      </c>
      <c r="C64" s="30"/>
      <c r="D64" s="40"/>
      <c r="E64" s="39"/>
      <c r="F64" s="39"/>
      <c r="G64" s="39"/>
      <c r="H64" s="39"/>
    </row>
    <row r="65" spans="1:8" ht="15.75" thickBot="1">
      <c r="A65" s="28">
        <v>49</v>
      </c>
      <c r="B65" s="35" t="s">
        <v>298</v>
      </c>
      <c r="C65" s="30"/>
      <c r="D65" s="40"/>
      <c r="E65" s="39"/>
      <c r="F65" s="39"/>
      <c r="G65" s="39"/>
      <c r="H65" s="39"/>
    </row>
    <row r="66" spans="1:8" ht="15.75" thickBot="1">
      <c r="A66" s="28">
        <v>50</v>
      </c>
      <c r="B66" s="35" t="s">
        <v>299</v>
      </c>
      <c r="C66" s="30"/>
      <c r="D66" s="40"/>
      <c r="E66" s="39"/>
      <c r="F66" s="39"/>
      <c r="G66" s="39"/>
      <c r="H66" s="39"/>
    </row>
    <row r="67" spans="1:8" ht="15.75" thickBot="1">
      <c r="A67" s="28">
        <v>51</v>
      </c>
      <c r="B67" s="35" t="s">
        <v>292</v>
      </c>
      <c r="C67" s="30"/>
      <c r="D67" s="40"/>
      <c r="E67" s="39"/>
      <c r="F67" s="39"/>
      <c r="G67" s="39"/>
      <c r="H67" s="39"/>
    </row>
    <row r="68" spans="1:8" ht="15.75" thickBot="1">
      <c r="A68" s="28">
        <v>52</v>
      </c>
      <c r="B68" s="35" t="s">
        <v>293</v>
      </c>
      <c r="C68" s="30"/>
      <c r="D68" s="40"/>
      <c r="E68" s="39"/>
      <c r="F68" s="39"/>
      <c r="G68" s="39"/>
      <c r="H68" s="39"/>
    </row>
    <row r="69" spans="1:8" ht="15.75" thickBot="1">
      <c r="A69" s="28">
        <v>53</v>
      </c>
      <c r="B69" s="35" t="s">
        <v>294</v>
      </c>
      <c r="C69" s="30"/>
      <c r="D69" s="40"/>
      <c r="E69" s="39"/>
      <c r="F69" s="39"/>
      <c r="G69" s="39"/>
      <c r="H69" s="39"/>
    </row>
    <row r="70" spans="1:8" ht="15.75" thickBot="1">
      <c r="A70" s="28">
        <v>54</v>
      </c>
      <c r="B70" s="35" t="s">
        <v>295</v>
      </c>
      <c r="C70" s="30"/>
      <c r="D70" s="40"/>
      <c r="E70" s="39"/>
      <c r="F70" s="39"/>
      <c r="G70" s="39"/>
      <c r="H70" s="39"/>
    </row>
    <row r="71" spans="1:8" ht="15.75" thickBot="1">
      <c r="A71" s="28">
        <v>55</v>
      </c>
      <c r="B71" s="35" t="s">
        <v>303</v>
      </c>
      <c r="C71" s="30"/>
      <c r="D71" s="40"/>
      <c r="E71" s="39"/>
      <c r="F71" s="39"/>
      <c r="G71" s="39"/>
      <c r="H71" s="39"/>
    </row>
    <row r="72" spans="1:8" ht="15.75" thickBot="1">
      <c r="A72" s="28">
        <v>56</v>
      </c>
      <c r="B72" s="35" t="s">
        <v>297</v>
      </c>
      <c r="C72" s="30"/>
      <c r="D72" s="40"/>
      <c r="E72" s="39" t="s">
        <v>246</v>
      </c>
      <c r="F72" s="39" t="s">
        <v>246</v>
      </c>
      <c r="G72" s="39" t="s">
        <v>246</v>
      </c>
      <c r="H72" s="39" t="s">
        <v>246</v>
      </c>
    </row>
    <row r="73" spans="1:8" ht="15.75" thickBot="1">
      <c r="A73" s="834"/>
      <c r="B73" s="834"/>
      <c r="C73" s="834"/>
      <c r="D73" s="834"/>
      <c r="E73" s="834"/>
      <c r="F73" s="36"/>
      <c r="G73" s="36"/>
      <c r="H73" s="36"/>
    </row>
    <row r="74" spans="1:8" ht="21">
      <c r="A74" s="37"/>
      <c r="B74" s="26" t="s">
        <v>304</v>
      </c>
      <c r="C74" s="27"/>
      <c r="D74" s="27"/>
      <c r="E74" s="38"/>
      <c r="F74" s="38"/>
      <c r="G74" s="38"/>
      <c r="H74" s="38"/>
    </row>
    <row r="75" spans="1:8" ht="15.75" thickBot="1">
      <c r="A75" s="28">
        <v>57</v>
      </c>
      <c r="B75" s="35" t="s">
        <v>305</v>
      </c>
      <c r="C75" s="30"/>
      <c r="D75" s="39"/>
      <c r="E75" s="39"/>
      <c r="F75" s="47"/>
      <c r="G75" s="47"/>
      <c r="H75" s="39"/>
    </row>
    <row r="76" spans="1:8" ht="15.75" thickBot="1">
      <c r="A76" s="28">
        <v>58</v>
      </c>
      <c r="B76" s="35" t="s">
        <v>306</v>
      </c>
      <c r="C76" s="30"/>
      <c r="D76" s="48"/>
      <c r="E76" s="39"/>
      <c r="F76" s="47"/>
      <c r="G76" s="47"/>
      <c r="H76" s="39"/>
    </row>
    <row r="77" spans="1:8" ht="15.75" thickBot="1">
      <c r="A77" s="28">
        <v>59</v>
      </c>
      <c r="B77" s="35" t="s">
        <v>307</v>
      </c>
      <c r="C77" s="30"/>
      <c r="D77" s="48"/>
      <c r="E77" s="39"/>
      <c r="F77" s="47"/>
      <c r="G77" s="47"/>
      <c r="H77" s="39"/>
    </row>
    <row r="78" spans="1:8" ht="15.75" thickBot="1">
      <c r="A78" s="28">
        <v>60</v>
      </c>
      <c r="B78" s="35" t="s">
        <v>292</v>
      </c>
      <c r="C78" s="30"/>
      <c r="D78" s="48"/>
      <c r="E78" s="39"/>
      <c r="F78" s="47"/>
      <c r="G78" s="47"/>
      <c r="H78" s="39"/>
    </row>
    <row r="79" spans="1:8" ht="15.75" thickBot="1">
      <c r="A79" s="28">
        <v>61</v>
      </c>
      <c r="B79" s="35" t="s">
        <v>293</v>
      </c>
      <c r="C79" s="30"/>
      <c r="D79" s="48"/>
      <c r="E79" s="39"/>
      <c r="F79" s="47"/>
      <c r="G79" s="47"/>
      <c r="H79" s="39"/>
    </row>
    <row r="80" spans="1:8" ht="15.75" thickBot="1">
      <c r="A80" s="28">
        <v>62</v>
      </c>
      <c r="B80" s="35" t="s">
        <v>294</v>
      </c>
      <c r="C80" s="30"/>
      <c r="D80" s="48"/>
      <c r="E80" s="39"/>
      <c r="F80" s="47"/>
      <c r="G80" s="47"/>
      <c r="H80" s="39"/>
    </row>
    <row r="81" spans="1:8" ht="15.75" thickBot="1">
      <c r="A81" s="28">
        <v>63</v>
      </c>
      <c r="B81" s="35" t="s">
        <v>295</v>
      </c>
      <c r="C81" s="30"/>
      <c r="D81" s="48"/>
      <c r="E81" s="39"/>
      <c r="F81" s="47"/>
      <c r="G81" s="47"/>
      <c r="H81" s="39"/>
    </row>
    <row r="82" spans="1:8" ht="15.75" thickBot="1">
      <c r="A82" s="28">
        <v>64</v>
      </c>
      <c r="B82" s="35" t="s">
        <v>303</v>
      </c>
      <c r="C82" s="30"/>
      <c r="D82" s="48"/>
      <c r="E82" s="39"/>
      <c r="F82" s="47"/>
      <c r="G82" s="47"/>
      <c r="H82" s="39"/>
    </row>
    <row r="83" spans="1:8" ht="15.75" thickBot="1">
      <c r="A83" s="28">
        <v>65</v>
      </c>
      <c r="B83" s="35" t="s">
        <v>297</v>
      </c>
      <c r="C83" s="30"/>
      <c r="D83" s="48"/>
      <c r="E83" s="39"/>
      <c r="F83" s="47"/>
      <c r="G83" s="47"/>
      <c r="H83" s="39"/>
    </row>
    <row r="84" spans="1:8" ht="15.75" thickBot="1">
      <c r="A84" s="28">
        <v>66</v>
      </c>
      <c r="B84" s="35" t="s">
        <v>298</v>
      </c>
      <c r="C84" s="30"/>
      <c r="D84" s="48"/>
      <c r="E84" s="39"/>
      <c r="F84" s="47"/>
      <c r="G84" s="47"/>
      <c r="H84" s="39"/>
    </row>
    <row r="85" spans="1:8" ht="15.75" thickBot="1">
      <c r="A85" s="28">
        <v>67</v>
      </c>
      <c r="B85" s="35" t="s">
        <v>308</v>
      </c>
      <c r="C85" s="30"/>
      <c r="D85" s="48"/>
      <c r="E85" s="39"/>
      <c r="F85" s="47"/>
      <c r="G85" s="47"/>
      <c r="H85" s="39"/>
    </row>
    <row r="86" spans="1:8" ht="15.75" thickBot="1">
      <c r="A86" s="28">
        <v>68</v>
      </c>
      <c r="B86" s="35" t="s">
        <v>292</v>
      </c>
      <c r="C86" s="30"/>
      <c r="D86" s="48"/>
      <c r="E86" s="39"/>
      <c r="F86" s="47"/>
      <c r="G86" s="47"/>
      <c r="H86" s="39"/>
    </row>
    <row r="87" spans="1:8" ht="15.75" thickBot="1">
      <c r="A87" s="28">
        <v>69</v>
      </c>
      <c r="B87" s="35" t="s">
        <v>293</v>
      </c>
      <c r="C87" s="30"/>
      <c r="D87" s="48"/>
      <c r="E87" s="39"/>
      <c r="F87" s="47"/>
      <c r="G87" s="47"/>
      <c r="H87" s="39"/>
    </row>
    <row r="88" spans="1:8" ht="15.75" thickBot="1">
      <c r="A88" s="28">
        <v>70</v>
      </c>
      <c r="B88" s="35" t="s">
        <v>294</v>
      </c>
      <c r="C88" s="30"/>
      <c r="D88" s="48"/>
      <c r="E88" s="39"/>
      <c r="F88" s="47"/>
      <c r="G88" s="47"/>
      <c r="H88" s="39"/>
    </row>
    <row r="89" spans="1:8" ht="15.75" thickBot="1">
      <c r="A89" s="28">
        <v>71</v>
      </c>
      <c r="B89" s="35" t="s">
        <v>295</v>
      </c>
      <c r="C89" s="30"/>
      <c r="D89" s="48"/>
      <c r="E89" s="39"/>
      <c r="F89" s="47"/>
      <c r="G89" s="47"/>
      <c r="H89" s="39"/>
    </row>
    <row r="90" spans="1:8" ht="15.75" thickBot="1">
      <c r="A90" s="28">
        <v>72</v>
      </c>
      <c r="B90" s="35" t="s">
        <v>303</v>
      </c>
      <c r="C90" s="30"/>
      <c r="D90" s="48"/>
      <c r="E90" s="39"/>
      <c r="F90" s="47"/>
      <c r="G90" s="47"/>
      <c r="H90" s="39"/>
    </row>
    <row r="91" spans="1:8" ht="15.75" thickBot="1">
      <c r="A91" s="28">
        <v>73</v>
      </c>
      <c r="B91" s="35" t="s">
        <v>297</v>
      </c>
      <c r="C91" s="30"/>
      <c r="D91" s="48"/>
      <c r="E91" s="39"/>
      <c r="F91" s="47"/>
      <c r="G91" s="47"/>
      <c r="H91" s="39"/>
    </row>
    <row r="92" spans="1:8" ht="15.75" thickBot="1">
      <c r="A92" s="834"/>
      <c r="B92" s="834"/>
      <c r="C92" s="834"/>
      <c r="D92" s="834"/>
      <c r="E92" s="835" t="s">
        <v>246</v>
      </c>
      <c r="F92" s="36"/>
      <c r="G92" s="36"/>
      <c r="H92" s="39" t="s">
        <v>246</v>
      </c>
    </row>
    <row r="93" spans="1:8" ht="21">
      <c r="A93" s="37"/>
      <c r="B93" s="26" t="s">
        <v>309</v>
      </c>
      <c r="C93" s="27"/>
      <c r="D93" s="27"/>
      <c r="E93" s="38"/>
      <c r="F93" s="38"/>
      <c r="G93" s="38"/>
      <c r="H93" s="38"/>
    </row>
    <row r="94" spans="1:8" ht="15.75" thickBot="1">
      <c r="A94" s="28"/>
      <c r="B94" s="35" t="s">
        <v>305</v>
      </c>
      <c r="C94" s="30"/>
      <c r="D94" s="39"/>
      <c r="E94" s="39"/>
      <c r="F94" s="47"/>
      <c r="G94" s="47"/>
      <c r="H94" s="39"/>
    </row>
    <row r="95" spans="1:8" ht="26.25" thickBot="1">
      <c r="A95" s="28"/>
      <c r="B95" s="35" t="s">
        <v>310</v>
      </c>
      <c r="C95" s="30"/>
      <c r="D95" s="48"/>
      <c r="E95" s="39"/>
      <c r="F95" s="47"/>
      <c r="G95" s="47"/>
      <c r="H95" s="39"/>
    </row>
    <row r="96" spans="1:8" ht="15.75" thickBot="1">
      <c r="A96" s="28"/>
      <c r="B96" s="35" t="s">
        <v>311</v>
      </c>
      <c r="C96" s="30"/>
      <c r="D96" s="48"/>
      <c r="E96" s="39"/>
      <c r="F96" s="47"/>
      <c r="G96" s="47"/>
      <c r="H96" s="39"/>
    </row>
    <row r="97" spans="1:8" ht="15.75" thickBot="1">
      <c r="A97" s="28"/>
      <c r="B97" s="35" t="s">
        <v>292</v>
      </c>
      <c r="C97" s="30"/>
      <c r="D97" s="48"/>
      <c r="E97" s="39"/>
      <c r="F97" s="47"/>
      <c r="G97" s="47"/>
      <c r="H97" s="39"/>
    </row>
    <row r="98" spans="1:8" ht="15.75" thickBot="1">
      <c r="A98" s="28"/>
      <c r="B98" s="35" t="s">
        <v>293</v>
      </c>
      <c r="C98" s="30"/>
      <c r="D98" s="48"/>
      <c r="E98" s="39"/>
      <c r="F98" s="47"/>
      <c r="G98" s="47"/>
      <c r="H98" s="39"/>
    </row>
    <row r="99" spans="1:8" ht="15.75" thickBot="1">
      <c r="A99" s="28"/>
      <c r="B99" s="35" t="s">
        <v>294</v>
      </c>
      <c r="C99" s="30"/>
      <c r="D99" s="48"/>
      <c r="E99" s="39"/>
      <c r="F99" s="47"/>
      <c r="G99" s="47"/>
      <c r="H99" s="39"/>
    </row>
    <row r="100" spans="1:8" ht="15.75" thickBot="1">
      <c r="A100" s="28"/>
      <c r="B100" s="35" t="s">
        <v>295</v>
      </c>
      <c r="C100" s="30"/>
      <c r="D100" s="48"/>
      <c r="E100" s="39"/>
      <c r="F100" s="47"/>
      <c r="G100" s="47"/>
      <c r="H100" s="39"/>
    </row>
    <row r="101" spans="1:8" ht="15.75" thickBot="1">
      <c r="A101" s="28"/>
      <c r="B101" s="35" t="s">
        <v>302</v>
      </c>
      <c r="C101" s="30"/>
      <c r="D101" s="48"/>
      <c r="E101" s="39"/>
      <c r="F101" s="47"/>
      <c r="G101" s="47"/>
      <c r="H101" s="39"/>
    </row>
    <row r="102" spans="1:8" ht="15.75" thickBot="1">
      <c r="A102" s="28"/>
      <c r="B102" s="35" t="s">
        <v>297</v>
      </c>
      <c r="C102" s="30"/>
      <c r="D102" s="48"/>
      <c r="E102" s="39"/>
      <c r="F102" s="47"/>
      <c r="G102" s="47"/>
      <c r="H102" s="39"/>
    </row>
    <row r="103" spans="1:8">
      <c r="A103" s="41"/>
      <c r="B103" s="44"/>
      <c r="C103" s="43"/>
      <c r="D103" s="43"/>
      <c r="E103" s="43"/>
      <c r="F103" s="43"/>
      <c r="G103" s="43"/>
      <c r="H103" s="43"/>
    </row>
    <row r="104" spans="1:8">
      <c r="A104" s="45"/>
      <c r="B104" s="46"/>
      <c r="C104" s="46"/>
      <c r="D104" s="46"/>
      <c r="E104" s="46"/>
      <c r="F104" s="46"/>
      <c r="G104" s="46"/>
      <c r="H104" s="46"/>
    </row>
    <row r="105" spans="1:8">
      <c r="A105" s="41"/>
      <c r="B105" s="44"/>
      <c r="C105" s="43"/>
      <c r="D105" s="43"/>
      <c r="E105" s="43"/>
      <c r="F105" s="43"/>
      <c r="G105" s="43"/>
      <c r="H105" s="43"/>
    </row>
    <row r="106" spans="1:8">
      <c r="A106" s="41"/>
      <c r="B106" s="44"/>
      <c r="C106" s="44"/>
      <c r="D106" s="44"/>
      <c r="E106" s="44"/>
      <c r="F106" s="44"/>
      <c r="G106" s="44"/>
      <c r="H106" s="44"/>
    </row>
    <row r="107" spans="1:8">
      <c r="A107" s="41"/>
      <c r="B107" s="44"/>
      <c r="C107" s="44"/>
      <c r="D107" s="44"/>
      <c r="E107" s="44"/>
      <c r="F107" s="44"/>
      <c r="G107" s="44"/>
      <c r="H107" s="44"/>
    </row>
    <row r="108" spans="1:8">
      <c r="A108" s="41"/>
      <c r="B108" s="44"/>
      <c r="C108" s="44"/>
      <c r="D108" s="44"/>
      <c r="E108" s="44"/>
      <c r="F108" s="44"/>
      <c r="G108" s="44"/>
      <c r="H108" s="44"/>
    </row>
    <row r="109" spans="1:8">
      <c r="A109" s="41"/>
      <c r="B109" s="44"/>
      <c r="C109" s="44"/>
      <c r="D109" s="44"/>
      <c r="E109" s="44"/>
      <c r="F109" s="44"/>
      <c r="G109" s="44"/>
      <c r="H109" s="44"/>
    </row>
    <row r="110" spans="1:8">
      <c r="A110" s="41"/>
      <c r="B110" s="44"/>
      <c r="C110" s="44"/>
      <c r="D110" s="44"/>
      <c r="E110" s="44"/>
      <c r="F110" s="44"/>
      <c r="G110" s="44"/>
      <c r="H110" s="44"/>
    </row>
    <row r="111" spans="1:8">
      <c r="A111" s="41"/>
      <c r="B111" s="44"/>
      <c r="C111" s="44"/>
      <c r="D111" s="44"/>
      <c r="E111" s="44"/>
      <c r="F111" s="44"/>
      <c r="G111" s="44"/>
      <c r="H111" s="44"/>
    </row>
    <row r="112" spans="1:8">
      <c r="A112" s="45"/>
      <c r="B112" s="46"/>
      <c r="C112" s="46"/>
      <c r="D112" s="46"/>
      <c r="E112" s="46"/>
      <c r="F112" s="46"/>
      <c r="G112" s="46"/>
      <c r="H112" s="46"/>
    </row>
  </sheetData>
  <mergeCells count="6">
    <mergeCell ref="A92:E92"/>
    <mergeCell ref="A1:H1"/>
    <mergeCell ref="A2:H2"/>
    <mergeCell ref="A3:H3"/>
    <mergeCell ref="A26:E26"/>
    <mergeCell ref="A73:E73"/>
  </mergeCells>
  <pageMargins left="0.7" right="0.7" top="0.75" bottom="0.75" header="0.51180555555555551" footer="0.51180555555555551"/>
  <pageSetup scale="58" firstPageNumber="0" orientation="portrait" horizontalDpi="300" verticalDpi="300"/>
  <headerFooter alignWithMargins="0"/>
  <rowBreaks count="1" manualBreakCount="1">
    <brk id="53" max="16383" man="1"/>
  </rowBreaks>
  <drawing r:id="rId1"/>
</worksheet>
</file>

<file path=xl/worksheets/sheet5.xml><?xml version="1.0" encoding="utf-8"?>
<worksheet xmlns="http://schemas.openxmlformats.org/spreadsheetml/2006/main" xmlns:r="http://schemas.openxmlformats.org/officeDocument/2006/relationships">
  <dimension ref="A1:IV223"/>
  <sheetViews>
    <sheetView topLeftCell="A94" workbookViewId="0">
      <selection activeCell="J49" sqref="J49"/>
    </sheetView>
  </sheetViews>
  <sheetFormatPr defaultRowHeight="15"/>
  <cols>
    <col min="1" max="1" width="5.5703125" style="20" bestFit="1" customWidth="1"/>
    <col min="2" max="2" width="65" style="20" customWidth="1"/>
    <col min="3" max="3" width="13.7109375" style="20" bestFit="1" customWidth="1"/>
    <col min="4" max="8" width="11.140625" style="20" bestFit="1" customWidth="1"/>
    <col min="9" max="256" width="9.140625" style="20" bestFit="1" customWidth="1"/>
    <col min="257" max="257" width="5.5703125" style="49" bestFit="1" customWidth="1"/>
    <col min="258" max="258" width="68.7109375" style="49" bestFit="1" customWidth="1"/>
    <col min="259" max="259" width="13.7109375" style="49" bestFit="1" customWidth="1"/>
    <col min="260" max="264" width="11.140625" style="49" bestFit="1" customWidth="1"/>
    <col min="265" max="512" width="9.140625" style="49" bestFit="1" customWidth="1"/>
    <col min="513" max="513" width="5.5703125" style="49" bestFit="1" customWidth="1"/>
    <col min="514" max="514" width="68.7109375" style="49" bestFit="1" customWidth="1"/>
    <col min="515" max="515" width="13.7109375" style="49" bestFit="1" customWidth="1"/>
    <col min="516" max="520" width="11.140625" style="49" bestFit="1" customWidth="1"/>
    <col min="521" max="768" width="9.140625" style="49" bestFit="1" customWidth="1"/>
    <col min="769" max="769" width="5.5703125" style="49" bestFit="1" customWidth="1"/>
    <col min="770" max="770" width="68.7109375" style="49" bestFit="1" customWidth="1"/>
    <col min="771" max="771" width="13.7109375" style="49" bestFit="1" customWidth="1"/>
    <col min="772" max="776" width="11.140625" style="49" bestFit="1" customWidth="1"/>
    <col min="777" max="1024" width="9.140625" style="49" bestFit="1" customWidth="1"/>
    <col min="1025" max="1025" width="5.5703125" style="49" bestFit="1" customWidth="1"/>
    <col min="1026" max="1026" width="68.7109375" style="49" bestFit="1" customWidth="1"/>
    <col min="1027" max="1027" width="13.7109375" style="49" bestFit="1" customWidth="1"/>
    <col min="1028" max="1032" width="11.140625" style="49" bestFit="1" customWidth="1"/>
    <col min="1033" max="1280" width="9.140625" style="49" bestFit="1" customWidth="1"/>
    <col min="1281" max="1281" width="5.5703125" style="49" bestFit="1" customWidth="1"/>
    <col min="1282" max="1282" width="68.7109375" style="49" bestFit="1" customWidth="1"/>
    <col min="1283" max="1283" width="13.7109375" style="49" bestFit="1" customWidth="1"/>
    <col min="1284" max="1288" width="11.140625" style="49" bestFit="1" customWidth="1"/>
    <col min="1289" max="1536" width="9.140625" style="49" bestFit="1" customWidth="1"/>
    <col min="1537" max="1537" width="5.5703125" style="49" bestFit="1" customWidth="1"/>
    <col min="1538" max="1538" width="68.7109375" style="49" bestFit="1" customWidth="1"/>
    <col min="1539" max="1539" width="13.7109375" style="49" bestFit="1" customWidth="1"/>
    <col min="1540" max="1544" width="11.140625" style="49" bestFit="1" customWidth="1"/>
    <col min="1545" max="1792" width="9.140625" style="49" bestFit="1" customWidth="1"/>
    <col min="1793" max="1793" width="5.5703125" style="49" bestFit="1" customWidth="1"/>
    <col min="1794" max="1794" width="68.7109375" style="49" bestFit="1" customWidth="1"/>
    <col min="1795" max="1795" width="13.7109375" style="49" bestFit="1" customWidth="1"/>
    <col min="1796" max="1800" width="11.140625" style="49" bestFit="1" customWidth="1"/>
    <col min="1801" max="2048" width="9.140625" style="49" bestFit="1" customWidth="1"/>
    <col min="2049" max="2049" width="5.5703125" style="49" bestFit="1" customWidth="1"/>
    <col min="2050" max="2050" width="68.7109375" style="49" bestFit="1" customWidth="1"/>
    <col min="2051" max="2051" width="13.7109375" style="49" bestFit="1" customWidth="1"/>
    <col min="2052" max="2056" width="11.140625" style="49" bestFit="1" customWidth="1"/>
    <col min="2057" max="2304" width="9.140625" style="49" bestFit="1" customWidth="1"/>
    <col min="2305" max="2305" width="5.5703125" style="49" bestFit="1" customWidth="1"/>
    <col min="2306" max="2306" width="68.7109375" style="49" bestFit="1" customWidth="1"/>
    <col min="2307" max="2307" width="13.7109375" style="49" bestFit="1" customWidth="1"/>
    <col min="2308" max="2312" width="11.140625" style="49" bestFit="1" customWidth="1"/>
    <col min="2313" max="2560" width="9.140625" style="49" bestFit="1" customWidth="1"/>
    <col min="2561" max="2561" width="5.5703125" style="49" bestFit="1" customWidth="1"/>
    <col min="2562" max="2562" width="68.7109375" style="49" bestFit="1" customWidth="1"/>
    <col min="2563" max="2563" width="13.7109375" style="49" bestFit="1" customWidth="1"/>
    <col min="2564" max="2568" width="11.140625" style="49" bestFit="1" customWidth="1"/>
    <col min="2569" max="2816" width="9.140625" style="49" bestFit="1" customWidth="1"/>
    <col min="2817" max="2817" width="5.5703125" style="49" bestFit="1" customWidth="1"/>
    <col min="2818" max="2818" width="68.7109375" style="49" bestFit="1" customWidth="1"/>
    <col min="2819" max="2819" width="13.7109375" style="49" bestFit="1" customWidth="1"/>
    <col min="2820" max="2824" width="11.140625" style="49" bestFit="1" customWidth="1"/>
    <col min="2825" max="3072" width="9.140625" style="49" bestFit="1" customWidth="1"/>
    <col min="3073" max="3073" width="5.5703125" style="49" bestFit="1" customWidth="1"/>
    <col min="3074" max="3074" width="68.7109375" style="49" bestFit="1" customWidth="1"/>
    <col min="3075" max="3075" width="13.7109375" style="49" bestFit="1" customWidth="1"/>
    <col min="3076" max="3080" width="11.140625" style="49" bestFit="1" customWidth="1"/>
    <col min="3081" max="3328" width="9.140625" style="49" bestFit="1" customWidth="1"/>
    <col min="3329" max="3329" width="5.5703125" style="49" bestFit="1" customWidth="1"/>
    <col min="3330" max="3330" width="68.7109375" style="49" bestFit="1" customWidth="1"/>
    <col min="3331" max="3331" width="13.7109375" style="49" bestFit="1" customWidth="1"/>
    <col min="3332" max="3336" width="11.140625" style="49" bestFit="1" customWidth="1"/>
    <col min="3337" max="3584" width="9.140625" style="49" bestFit="1" customWidth="1"/>
    <col min="3585" max="3585" width="5.5703125" style="49" bestFit="1" customWidth="1"/>
    <col min="3586" max="3586" width="68.7109375" style="49" bestFit="1" customWidth="1"/>
    <col min="3587" max="3587" width="13.7109375" style="49" bestFit="1" customWidth="1"/>
    <col min="3588" max="3592" width="11.140625" style="49" bestFit="1" customWidth="1"/>
    <col min="3593" max="3840" width="9.140625" style="49" bestFit="1" customWidth="1"/>
    <col min="3841" max="3841" width="5.5703125" style="49" bestFit="1" customWidth="1"/>
    <col min="3842" max="3842" width="68.7109375" style="49" bestFit="1" customWidth="1"/>
    <col min="3843" max="3843" width="13.7109375" style="49" bestFit="1" customWidth="1"/>
    <col min="3844" max="3848" width="11.140625" style="49" bestFit="1" customWidth="1"/>
    <col min="3849" max="4096" width="9.140625" style="49" bestFit="1" customWidth="1"/>
    <col min="4097" max="4097" width="5.5703125" style="49" bestFit="1" customWidth="1"/>
    <col min="4098" max="4098" width="68.7109375" style="49" bestFit="1" customWidth="1"/>
    <col min="4099" max="4099" width="13.7109375" style="49" bestFit="1" customWidth="1"/>
    <col min="4100" max="4104" width="11.140625" style="49" bestFit="1" customWidth="1"/>
    <col min="4105" max="4352" width="9.140625" style="49" bestFit="1" customWidth="1"/>
    <col min="4353" max="4353" width="5.5703125" style="49" bestFit="1" customWidth="1"/>
    <col min="4354" max="4354" width="68.7109375" style="49" bestFit="1" customWidth="1"/>
    <col min="4355" max="4355" width="13.7109375" style="49" bestFit="1" customWidth="1"/>
    <col min="4356" max="4360" width="11.140625" style="49" bestFit="1" customWidth="1"/>
    <col min="4361" max="4608" width="9.140625" style="49" bestFit="1" customWidth="1"/>
    <col min="4609" max="4609" width="5.5703125" style="49" bestFit="1" customWidth="1"/>
    <col min="4610" max="4610" width="68.7109375" style="49" bestFit="1" customWidth="1"/>
    <col min="4611" max="4611" width="13.7109375" style="49" bestFit="1" customWidth="1"/>
    <col min="4612" max="4616" width="11.140625" style="49" bestFit="1" customWidth="1"/>
    <col min="4617" max="4864" width="9.140625" style="49" bestFit="1" customWidth="1"/>
    <col min="4865" max="4865" width="5.5703125" style="49" bestFit="1" customWidth="1"/>
    <col min="4866" max="4866" width="68.7109375" style="49" bestFit="1" customWidth="1"/>
    <col min="4867" max="4867" width="13.7109375" style="49" bestFit="1" customWidth="1"/>
    <col min="4868" max="4872" width="11.140625" style="49" bestFit="1" customWidth="1"/>
    <col min="4873" max="5120" width="9.140625" style="49" bestFit="1" customWidth="1"/>
    <col min="5121" max="5121" width="5.5703125" style="49" bestFit="1" customWidth="1"/>
    <col min="5122" max="5122" width="68.7109375" style="49" bestFit="1" customWidth="1"/>
    <col min="5123" max="5123" width="13.7109375" style="49" bestFit="1" customWidth="1"/>
    <col min="5124" max="5128" width="11.140625" style="49" bestFit="1" customWidth="1"/>
    <col min="5129" max="5376" width="9.140625" style="49" bestFit="1" customWidth="1"/>
    <col min="5377" max="5377" width="5.5703125" style="49" bestFit="1" customWidth="1"/>
    <col min="5378" max="5378" width="68.7109375" style="49" bestFit="1" customWidth="1"/>
    <col min="5379" max="5379" width="13.7109375" style="49" bestFit="1" customWidth="1"/>
    <col min="5380" max="5384" width="11.140625" style="49" bestFit="1" customWidth="1"/>
    <col min="5385" max="5632" width="9.140625" style="49" bestFit="1" customWidth="1"/>
    <col min="5633" max="5633" width="5.5703125" style="49" bestFit="1" customWidth="1"/>
    <col min="5634" max="5634" width="68.7109375" style="49" bestFit="1" customWidth="1"/>
    <col min="5635" max="5635" width="13.7109375" style="49" bestFit="1" customWidth="1"/>
    <col min="5636" max="5640" width="11.140625" style="49" bestFit="1" customWidth="1"/>
    <col min="5641" max="5888" width="9.140625" style="49" bestFit="1" customWidth="1"/>
    <col min="5889" max="5889" width="5.5703125" style="49" bestFit="1" customWidth="1"/>
    <col min="5890" max="5890" width="68.7109375" style="49" bestFit="1" customWidth="1"/>
    <col min="5891" max="5891" width="13.7109375" style="49" bestFit="1" customWidth="1"/>
    <col min="5892" max="5896" width="11.140625" style="49" bestFit="1" customWidth="1"/>
    <col min="5897" max="6144" width="9.140625" style="49" bestFit="1" customWidth="1"/>
    <col min="6145" max="6145" width="5.5703125" style="49" bestFit="1" customWidth="1"/>
    <col min="6146" max="6146" width="68.7109375" style="49" bestFit="1" customWidth="1"/>
    <col min="6147" max="6147" width="13.7109375" style="49" bestFit="1" customWidth="1"/>
    <col min="6148" max="6152" width="11.140625" style="49" bestFit="1" customWidth="1"/>
    <col min="6153" max="6400" width="9.140625" style="49" bestFit="1" customWidth="1"/>
    <col min="6401" max="6401" width="5.5703125" style="49" bestFit="1" customWidth="1"/>
    <col min="6402" max="6402" width="68.7109375" style="49" bestFit="1" customWidth="1"/>
    <col min="6403" max="6403" width="13.7109375" style="49" bestFit="1" customWidth="1"/>
    <col min="6404" max="6408" width="11.140625" style="49" bestFit="1" customWidth="1"/>
    <col min="6409" max="6656" width="9.140625" style="49" bestFit="1" customWidth="1"/>
    <col min="6657" max="6657" width="5.5703125" style="49" bestFit="1" customWidth="1"/>
    <col min="6658" max="6658" width="68.7109375" style="49" bestFit="1" customWidth="1"/>
    <col min="6659" max="6659" width="13.7109375" style="49" bestFit="1" customWidth="1"/>
    <col min="6660" max="6664" width="11.140625" style="49" bestFit="1" customWidth="1"/>
    <col min="6665" max="6912" width="9.140625" style="49" bestFit="1" customWidth="1"/>
    <col min="6913" max="6913" width="5.5703125" style="49" bestFit="1" customWidth="1"/>
    <col min="6914" max="6914" width="68.7109375" style="49" bestFit="1" customWidth="1"/>
    <col min="6915" max="6915" width="13.7109375" style="49" bestFit="1" customWidth="1"/>
    <col min="6916" max="6920" width="11.140625" style="49" bestFit="1" customWidth="1"/>
    <col min="6921" max="7168" width="9.140625" style="49" bestFit="1" customWidth="1"/>
    <col min="7169" max="7169" width="5.5703125" style="49" bestFit="1" customWidth="1"/>
    <col min="7170" max="7170" width="68.7109375" style="49" bestFit="1" customWidth="1"/>
    <col min="7171" max="7171" width="13.7109375" style="49" bestFit="1" customWidth="1"/>
    <col min="7172" max="7176" width="11.140625" style="49" bestFit="1" customWidth="1"/>
    <col min="7177" max="7424" width="9.140625" style="49" bestFit="1" customWidth="1"/>
    <col min="7425" max="7425" width="5.5703125" style="49" bestFit="1" customWidth="1"/>
    <col min="7426" max="7426" width="68.7109375" style="49" bestFit="1" customWidth="1"/>
    <col min="7427" max="7427" width="13.7109375" style="49" bestFit="1" customWidth="1"/>
    <col min="7428" max="7432" width="11.140625" style="49" bestFit="1" customWidth="1"/>
    <col min="7433" max="7680" width="9.140625" style="49" bestFit="1" customWidth="1"/>
    <col min="7681" max="7681" width="5.5703125" style="49" bestFit="1" customWidth="1"/>
    <col min="7682" max="7682" width="68.7109375" style="49" bestFit="1" customWidth="1"/>
    <col min="7683" max="7683" width="13.7109375" style="49" bestFit="1" customWidth="1"/>
    <col min="7684" max="7688" width="11.140625" style="49" bestFit="1" customWidth="1"/>
    <col min="7689" max="7936" width="9.140625" style="49" bestFit="1" customWidth="1"/>
    <col min="7937" max="7937" width="5.5703125" style="49" bestFit="1" customWidth="1"/>
    <col min="7938" max="7938" width="68.7109375" style="49" bestFit="1" customWidth="1"/>
    <col min="7939" max="7939" width="13.7109375" style="49" bestFit="1" customWidth="1"/>
    <col min="7940" max="7944" width="11.140625" style="49" bestFit="1" customWidth="1"/>
    <col min="7945" max="8192" width="9.140625" style="49" bestFit="1" customWidth="1"/>
    <col min="8193" max="8193" width="5.5703125" style="49" bestFit="1" customWidth="1"/>
    <col min="8194" max="8194" width="68.7109375" style="49" bestFit="1" customWidth="1"/>
    <col min="8195" max="8195" width="13.7109375" style="49" bestFit="1" customWidth="1"/>
    <col min="8196" max="8200" width="11.140625" style="49" bestFit="1" customWidth="1"/>
    <col min="8201" max="8448" width="9.140625" style="49" bestFit="1" customWidth="1"/>
    <col min="8449" max="8449" width="5.5703125" style="49" bestFit="1" customWidth="1"/>
    <col min="8450" max="8450" width="68.7109375" style="49" bestFit="1" customWidth="1"/>
    <col min="8451" max="8451" width="13.7109375" style="49" bestFit="1" customWidth="1"/>
    <col min="8452" max="8456" width="11.140625" style="49" bestFit="1" customWidth="1"/>
    <col min="8457" max="8704" width="9.140625" style="49" bestFit="1" customWidth="1"/>
    <col min="8705" max="8705" width="5.5703125" style="49" bestFit="1" customWidth="1"/>
    <col min="8706" max="8706" width="68.7109375" style="49" bestFit="1" customWidth="1"/>
    <col min="8707" max="8707" width="13.7109375" style="49" bestFit="1" customWidth="1"/>
    <col min="8708" max="8712" width="11.140625" style="49" bestFit="1" customWidth="1"/>
    <col min="8713" max="8960" width="9.140625" style="49" bestFit="1" customWidth="1"/>
    <col min="8961" max="8961" width="5.5703125" style="49" bestFit="1" customWidth="1"/>
    <col min="8962" max="8962" width="68.7109375" style="49" bestFit="1" customWidth="1"/>
    <col min="8963" max="8963" width="13.7109375" style="49" bestFit="1" customWidth="1"/>
    <col min="8964" max="8968" width="11.140625" style="49" bestFit="1" customWidth="1"/>
    <col min="8969" max="9216" width="9.140625" style="49" bestFit="1" customWidth="1"/>
    <col min="9217" max="9217" width="5.5703125" style="49" bestFit="1" customWidth="1"/>
    <col min="9218" max="9218" width="68.7109375" style="49" bestFit="1" customWidth="1"/>
    <col min="9219" max="9219" width="13.7109375" style="49" bestFit="1" customWidth="1"/>
    <col min="9220" max="9224" width="11.140625" style="49" bestFit="1" customWidth="1"/>
    <col min="9225" max="9472" width="9.140625" style="49" bestFit="1" customWidth="1"/>
    <col min="9473" max="9473" width="5.5703125" style="49" bestFit="1" customWidth="1"/>
    <col min="9474" max="9474" width="68.7109375" style="49" bestFit="1" customWidth="1"/>
    <col min="9475" max="9475" width="13.7109375" style="49" bestFit="1" customWidth="1"/>
    <col min="9476" max="9480" width="11.140625" style="49" bestFit="1" customWidth="1"/>
    <col min="9481" max="9728" width="9.140625" style="49" bestFit="1" customWidth="1"/>
    <col min="9729" max="9729" width="5.5703125" style="49" bestFit="1" customWidth="1"/>
    <col min="9730" max="9730" width="68.7109375" style="49" bestFit="1" customWidth="1"/>
    <col min="9731" max="9731" width="13.7109375" style="49" bestFit="1" customWidth="1"/>
    <col min="9732" max="9736" width="11.140625" style="49" bestFit="1" customWidth="1"/>
    <col min="9737" max="9984" width="9.140625" style="49" bestFit="1" customWidth="1"/>
    <col min="9985" max="9985" width="5.5703125" style="49" bestFit="1" customWidth="1"/>
    <col min="9986" max="9986" width="68.7109375" style="49" bestFit="1" customWidth="1"/>
    <col min="9987" max="9987" width="13.7109375" style="49" bestFit="1" customWidth="1"/>
    <col min="9988" max="9992" width="11.140625" style="49" bestFit="1" customWidth="1"/>
    <col min="9993" max="10240" width="9.140625" style="49" bestFit="1" customWidth="1"/>
    <col min="10241" max="10241" width="5.5703125" style="49" bestFit="1" customWidth="1"/>
    <col min="10242" max="10242" width="68.7109375" style="49" bestFit="1" customWidth="1"/>
    <col min="10243" max="10243" width="13.7109375" style="49" bestFit="1" customWidth="1"/>
    <col min="10244" max="10248" width="11.140625" style="49" bestFit="1" customWidth="1"/>
    <col min="10249" max="10496" width="9.140625" style="49" bestFit="1" customWidth="1"/>
    <col min="10497" max="10497" width="5.5703125" style="49" bestFit="1" customWidth="1"/>
    <col min="10498" max="10498" width="68.7109375" style="49" bestFit="1" customWidth="1"/>
    <col min="10499" max="10499" width="13.7109375" style="49" bestFit="1" customWidth="1"/>
    <col min="10500" max="10504" width="11.140625" style="49" bestFit="1" customWidth="1"/>
    <col min="10505" max="10752" width="9.140625" style="49" bestFit="1" customWidth="1"/>
    <col min="10753" max="10753" width="5.5703125" style="49" bestFit="1" customWidth="1"/>
    <col min="10754" max="10754" width="68.7109375" style="49" bestFit="1" customWidth="1"/>
    <col min="10755" max="10755" width="13.7109375" style="49" bestFit="1" customWidth="1"/>
    <col min="10756" max="10760" width="11.140625" style="49" bestFit="1" customWidth="1"/>
    <col min="10761" max="11008" width="9.140625" style="49" bestFit="1" customWidth="1"/>
    <col min="11009" max="11009" width="5.5703125" style="49" bestFit="1" customWidth="1"/>
    <col min="11010" max="11010" width="68.7109375" style="49" bestFit="1" customWidth="1"/>
    <col min="11011" max="11011" width="13.7109375" style="49" bestFit="1" customWidth="1"/>
    <col min="11012" max="11016" width="11.140625" style="49" bestFit="1" customWidth="1"/>
    <col min="11017" max="11264" width="9.140625" style="49" bestFit="1" customWidth="1"/>
    <col min="11265" max="11265" width="5.5703125" style="49" bestFit="1" customWidth="1"/>
    <col min="11266" max="11266" width="68.7109375" style="49" bestFit="1" customWidth="1"/>
    <col min="11267" max="11267" width="13.7109375" style="49" bestFit="1" customWidth="1"/>
    <col min="11268" max="11272" width="11.140625" style="49" bestFit="1" customWidth="1"/>
    <col min="11273" max="11520" width="9.140625" style="49" bestFit="1" customWidth="1"/>
    <col min="11521" max="11521" width="5.5703125" style="49" bestFit="1" customWidth="1"/>
    <col min="11522" max="11522" width="68.7109375" style="49" bestFit="1" customWidth="1"/>
    <col min="11523" max="11523" width="13.7109375" style="49" bestFit="1" customWidth="1"/>
    <col min="11524" max="11528" width="11.140625" style="49" bestFit="1" customWidth="1"/>
    <col min="11529" max="11776" width="9.140625" style="49" bestFit="1" customWidth="1"/>
    <col min="11777" max="11777" width="5.5703125" style="49" bestFit="1" customWidth="1"/>
    <col min="11778" max="11778" width="68.7109375" style="49" bestFit="1" customWidth="1"/>
    <col min="11779" max="11779" width="13.7109375" style="49" bestFit="1" customWidth="1"/>
    <col min="11780" max="11784" width="11.140625" style="49" bestFit="1" customWidth="1"/>
    <col min="11785" max="12032" width="9.140625" style="49" bestFit="1" customWidth="1"/>
    <col min="12033" max="12033" width="5.5703125" style="49" bestFit="1" customWidth="1"/>
    <col min="12034" max="12034" width="68.7109375" style="49" bestFit="1" customWidth="1"/>
    <col min="12035" max="12035" width="13.7109375" style="49" bestFit="1" customWidth="1"/>
    <col min="12036" max="12040" width="11.140625" style="49" bestFit="1" customWidth="1"/>
    <col min="12041" max="12288" width="9.140625" style="49" bestFit="1" customWidth="1"/>
    <col min="12289" max="12289" width="5.5703125" style="49" bestFit="1" customWidth="1"/>
    <col min="12290" max="12290" width="68.7109375" style="49" bestFit="1" customWidth="1"/>
    <col min="12291" max="12291" width="13.7109375" style="49" bestFit="1" customWidth="1"/>
    <col min="12292" max="12296" width="11.140625" style="49" bestFit="1" customWidth="1"/>
    <col min="12297" max="12544" width="9.140625" style="49" bestFit="1" customWidth="1"/>
    <col min="12545" max="12545" width="5.5703125" style="49" bestFit="1" customWidth="1"/>
    <col min="12546" max="12546" width="68.7109375" style="49" bestFit="1" customWidth="1"/>
    <col min="12547" max="12547" width="13.7109375" style="49" bestFit="1" customWidth="1"/>
    <col min="12548" max="12552" width="11.140625" style="49" bestFit="1" customWidth="1"/>
    <col min="12553" max="12800" width="9.140625" style="49" bestFit="1" customWidth="1"/>
    <col min="12801" max="12801" width="5.5703125" style="49" bestFit="1" customWidth="1"/>
    <col min="12802" max="12802" width="68.7109375" style="49" bestFit="1" customWidth="1"/>
    <col min="12803" max="12803" width="13.7109375" style="49" bestFit="1" customWidth="1"/>
    <col min="12804" max="12808" width="11.140625" style="49" bestFit="1" customWidth="1"/>
    <col min="12809" max="13056" width="9.140625" style="49" bestFit="1" customWidth="1"/>
    <col min="13057" max="13057" width="5.5703125" style="49" bestFit="1" customWidth="1"/>
    <col min="13058" max="13058" width="68.7109375" style="49" bestFit="1" customWidth="1"/>
    <col min="13059" max="13059" width="13.7109375" style="49" bestFit="1" customWidth="1"/>
    <col min="13060" max="13064" width="11.140625" style="49" bestFit="1" customWidth="1"/>
    <col min="13065" max="13312" width="9.140625" style="49" bestFit="1" customWidth="1"/>
    <col min="13313" max="13313" width="5.5703125" style="49" bestFit="1" customWidth="1"/>
    <col min="13314" max="13314" width="68.7109375" style="49" bestFit="1" customWidth="1"/>
    <col min="13315" max="13315" width="13.7109375" style="49" bestFit="1" customWidth="1"/>
    <col min="13316" max="13320" width="11.140625" style="49" bestFit="1" customWidth="1"/>
    <col min="13321" max="13568" width="9.140625" style="49" bestFit="1" customWidth="1"/>
    <col min="13569" max="13569" width="5.5703125" style="49" bestFit="1" customWidth="1"/>
    <col min="13570" max="13570" width="68.7109375" style="49" bestFit="1" customWidth="1"/>
    <col min="13571" max="13571" width="13.7109375" style="49" bestFit="1" customWidth="1"/>
    <col min="13572" max="13576" width="11.140625" style="49" bestFit="1" customWidth="1"/>
    <col min="13577" max="13824" width="9.140625" style="49" bestFit="1" customWidth="1"/>
    <col min="13825" max="13825" width="5.5703125" style="49" bestFit="1" customWidth="1"/>
    <col min="13826" max="13826" width="68.7109375" style="49" bestFit="1" customWidth="1"/>
    <col min="13827" max="13827" width="13.7109375" style="49" bestFit="1" customWidth="1"/>
    <col min="13828" max="13832" width="11.140625" style="49" bestFit="1" customWidth="1"/>
    <col min="13833" max="14080" width="9.140625" style="49" bestFit="1" customWidth="1"/>
    <col min="14081" max="14081" width="5.5703125" style="49" bestFit="1" customWidth="1"/>
    <col min="14082" max="14082" width="68.7109375" style="49" bestFit="1" customWidth="1"/>
    <col min="14083" max="14083" width="13.7109375" style="49" bestFit="1" customWidth="1"/>
    <col min="14084" max="14088" width="11.140625" style="49" bestFit="1" customWidth="1"/>
    <col min="14089" max="14336" width="9.140625" style="49" bestFit="1" customWidth="1"/>
    <col min="14337" max="14337" width="5.5703125" style="49" bestFit="1" customWidth="1"/>
    <col min="14338" max="14338" width="68.7109375" style="49" bestFit="1" customWidth="1"/>
    <col min="14339" max="14339" width="13.7109375" style="49" bestFit="1" customWidth="1"/>
    <col min="14340" max="14344" width="11.140625" style="49" bestFit="1" customWidth="1"/>
    <col min="14345" max="14592" width="9.140625" style="49" bestFit="1" customWidth="1"/>
    <col min="14593" max="14593" width="5.5703125" style="49" bestFit="1" customWidth="1"/>
    <col min="14594" max="14594" width="68.7109375" style="49" bestFit="1" customWidth="1"/>
    <col min="14595" max="14595" width="13.7109375" style="49" bestFit="1" customWidth="1"/>
    <col min="14596" max="14600" width="11.140625" style="49" bestFit="1" customWidth="1"/>
    <col min="14601" max="14848" width="9.140625" style="49" bestFit="1" customWidth="1"/>
    <col min="14849" max="14849" width="5.5703125" style="49" bestFit="1" customWidth="1"/>
    <col min="14850" max="14850" width="68.7109375" style="49" bestFit="1" customWidth="1"/>
    <col min="14851" max="14851" width="13.7109375" style="49" bestFit="1" customWidth="1"/>
    <col min="14852" max="14856" width="11.140625" style="49" bestFit="1" customWidth="1"/>
    <col min="14857" max="15104" width="9.140625" style="49" bestFit="1" customWidth="1"/>
    <col min="15105" max="15105" width="5.5703125" style="49" bestFit="1" customWidth="1"/>
    <col min="15106" max="15106" width="68.7109375" style="49" bestFit="1" customWidth="1"/>
    <col min="15107" max="15107" width="13.7109375" style="49" bestFit="1" customWidth="1"/>
    <col min="15108" max="15112" width="11.140625" style="49" bestFit="1" customWidth="1"/>
    <col min="15113" max="15360" width="9.140625" style="49" bestFit="1" customWidth="1"/>
    <col min="15361" max="15361" width="5.5703125" style="49" bestFit="1" customWidth="1"/>
    <col min="15362" max="15362" width="68.7109375" style="49" bestFit="1" customWidth="1"/>
    <col min="15363" max="15363" width="13.7109375" style="49" bestFit="1" customWidth="1"/>
    <col min="15364" max="15368" width="11.140625" style="49" bestFit="1" customWidth="1"/>
    <col min="15369" max="15616" width="9.140625" style="49" bestFit="1" customWidth="1"/>
    <col min="15617" max="15617" width="5.5703125" style="49" bestFit="1" customWidth="1"/>
    <col min="15618" max="15618" width="68.7109375" style="49" bestFit="1" customWidth="1"/>
    <col min="15619" max="15619" width="13.7109375" style="49" bestFit="1" customWidth="1"/>
    <col min="15620" max="15624" width="11.140625" style="49" bestFit="1" customWidth="1"/>
    <col min="15625" max="15872" width="9.140625" style="49" bestFit="1" customWidth="1"/>
    <col min="15873" max="15873" width="5.5703125" style="49" bestFit="1" customWidth="1"/>
    <col min="15874" max="15874" width="68.7109375" style="49" bestFit="1" customWidth="1"/>
    <col min="15875" max="15875" width="13.7109375" style="49" bestFit="1" customWidth="1"/>
    <col min="15876" max="15880" width="11.140625" style="49" bestFit="1" customWidth="1"/>
    <col min="15881" max="16128" width="9.140625" style="49" bestFit="1" customWidth="1"/>
    <col min="16129" max="16129" width="5.5703125" style="49" bestFit="1" customWidth="1"/>
    <col min="16130" max="16130" width="68.7109375" style="49" bestFit="1" customWidth="1"/>
    <col min="16131" max="16131" width="13.7109375" style="49" bestFit="1" customWidth="1"/>
    <col min="16132" max="16136" width="11.140625" style="49" bestFit="1" customWidth="1"/>
    <col min="16137" max="16384" width="9.140625" style="49" bestFit="1" customWidth="1"/>
  </cols>
  <sheetData>
    <row r="1" spans="1:8" ht="15.75">
      <c r="A1" s="836" t="s">
        <v>254</v>
      </c>
      <c r="B1" s="836"/>
      <c r="C1" s="836"/>
      <c r="D1" s="836"/>
      <c r="E1" s="836"/>
      <c r="F1" s="836"/>
      <c r="G1" s="836"/>
      <c r="H1" s="836"/>
    </row>
    <row r="2" spans="1:8" ht="15.75">
      <c r="A2" s="836"/>
      <c r="B2" s="836"/>
      <c r="C2" s="836"/>
      <c r="D2" s="836"/>
      <c r="E2" s="836"/>
      <c r="F2" s="50"/>
      <c r="G2" s="50"/>
      <c r="H2" s="50"/>
    </row>
    <row r="3" spans="1:8" ht="15.75">
      <c r="A3" s="837" t="s">
        <v>47</v>
      </c>
      <c r="B3" s="837"/>
      <c r="C3" s="837"/>
      <c r="D3" s="837"/>
      <c r="E3" s="837"/>
      <c r="F3" s="837"/>
      <c r="G3" s="837"/>
      <c r="H3" s="837"/>
    </row>
    <row r="4" spans="1:8">
      <c r="A4" s="22" t="s">
        <v>256</v>
      </c>
      <c r="B4" s="22" t="s">
        <v>257</v>
      </c>
      <c r="C4" s="51" t="s">
        <v>258</v>
      </c>
      <c r="D4" s="52" t="str">
        <f>'General Info'!D4</f>
        <v>FY 2008-2009</v>
      </c>
      <c r="E4" s="52" t="str">
        <f>'General Info'!E4</f>
        <v>FY 2009-2010</v>
      </c>
      <c r="F4" s="52" t="str">
        <f>'General Info'!F4</f>
        <v>FY 2010-2011</v>
      </c>
      <c r="G4" s="52" t="str">
        <f>'General Info'!G4</f>
        <v>FY 2011-2012</v>
      </c>
      <c r="H4" s="52" t="str">
        <f>'General Info'!H4</f>
        <v>FY 2012-2013</v>
      </c>
    </row>
    <row r="5" spans="1:8">
      <c r="A5" s="53"/>
      <c r="B5" s="53" t="s">
        <v>312</v>
      </c>
      <c r="C5" s="53" t="s">
        <v>268</v>
      </c>
      <c r="D5" s="53">
        <f>IF(OR(D29="nd",'General Info'!D10="nd"),"nd",(D29)*100/'General Info'!D10)</f>
        <v>88.299310966578659</v>
      </c>
      <c r="E5" s="53">
        <f>IF(OR(E29="nd",'General Info'!E10="nd"),"nd",(E29)*100/'General Info'!E10)</f>
        <v>85.21266073194856</v>
      </c>
      <c r="F5" s="53">
        <f>IF(OR(F29="nd",'General Info'!F10="nd"),"nd",(F29)*100/'General Info'!F10)</f>
        <v>84.102107450281977</v>
      </c>
      <c r="G5" s="53">
        <f>IF(OR(G29="nd",'General Info'!G10="nd"),"nd",(G29)*100/'General Info'!G10)</f>
        <v>85.611386423879225</v>
      </c>
      <c r="H5" s="53">
        <f>IF(OR(H29="nd",'General Info'!H10="nd"),"nd",(H29)*100/'General Info'!H10)</f>
        <v>91.07172901127251</v>
      </c>
    </row>
    <row r="6" spans="1:8">
      <c r="A6" s="54"/>
      <c r="B6" s="61" t="s">
        <v>313</v>
      </c>
      <c r="C6" s="61"/>
      <c r="D6" s="61"/>
      <c r="E6" s="61"/>
      <c r="F6" s="61"/>
      <c r="G6" s="61"/>
      <c r="H6" s="61"/>
    </row>
    <row r="7" spans="1:8" ht="15.75" thickBot="1">
      <c r="A7" s="25">
        <v>1</v>
      </c>
      <c r="B7" s="55" t="s">
        <v>314</v>
      </c>
      <c r="C7" s="30" t="s">
        <v>271</v>
      </c>
      <c r="D7" s="31">
        <v>0</v>
      </c>
      <c r="E7" s="33" t="s">
        <v>251</v>
      </c>
      <c r="F7" s="33" t="s">
        <v>251</v>
      </c>
      <c r="G7" s="33" t="s">
        <v>251</v>
      </c>
      <c r="H7" s="33" t="s">
        <v>251</v>
      </c>
    </row>
    <row r="8" spans="1:8" ht="15.75" thickBot="1">
      <c r="A8" s="25">
        <v>2</v>
      </c>
      <c r="B8" s="55" t="s">
        <v>315</v>
      </c>
      <c r="C8" s="30" t="s">
        <v>271</v>
      </c>
      <c r="D8" s="31">
        <v>0</v>
      </c>
      <c r="E8" s="33" t="s">
        <v>251</v>
      </c>
      <c r="F8" s="33" t="s">
        <v>251</v>
      </c>
      <c r="G8" s="33" t="s">
        <v>251</v>
      </c>
      <c r="H8" s="33" t="s">
        <v>251</v>
      </c>
    </row>
    <row r="9" spans="1:8" ht="15.75" thickBot="1">
      <c r="A9" s="25">
        <v>3</v>
      </c>
      <c r="B9" s="55" t="s">
        <v>316</v>
      </c>
      <c r="C9" s="30" t="s">
        <v>271</v>
      </c>
      <c r="D9" s="31">
        <v>13712</v>
      </c>
      <c r="E9" s="31">
        <v>13784</v>
      </c>
      <c r="F9" s="31">
        <v>14167</v>
      </c>
      <c r="G9" s="31">
        <v>14857</v>
      </c>
      <c r="H9" s="31">
        <v>16239</v>
      </c>
    </row>
    <row r="10" spans="1:8" ht="15.75" thickBot="1">
      <c r="A10" s="25">
        <v>4</v>
      </c>
      <c r="B10" s="267" t="s">
        <v>317</v>
      </c>
      <c r="C10" s="268" t="s">
        <v>271</v>
      </c>
      <c r="D10" s="269">
        <f>IF(OR(D7="nd",D8="nd",D9="nd"),"nd",SUM(D7:D9))</f>
        <v>13712</v>
      </c>
      <c r="E10" s="269">
        <f>IF(OR(E7="nd",E8="nd",E9="nd"),"nd",SUM(E7:E9))</f>
        <v>13784</v>
      </c>
      <c r="F10" s="269">
        <f>IF(OR(F7="nd",F8="nd",F9="nd"),"nd",SUM(F7:F9))</f>
        <v>14167</v>
      </c>
      <c r="G10" s="269">
        <f>IF(OR(G7="nd",G8="nd",G9="nd"),"nd",SUM(G7:G9))</f>
        <v>14857</v>
      </c>
      <c r="H10" s="269">
        <f>IF(OR(H7="nd",H8="nd",H9="nd"),"nd",SUM(H7:H9))</f>
        <v>16239</v>
      </c>
    </row>
    <row r="11" spans="1:8" ht="15.75" thickBot="1">
      <c r="A11" s="25">
        <v>5</v>
      </c>
      <c r="B11" s="55" t="s">
        <v>318</v>
      </c>
      <c r="C11" s="30" t="s">
        <v>271</v>
      </c>
      <c r="D11" s="56"/>
      <c r="E11" s="33" t="s">
        <v>251</v>
      </c>
      <c r="F11" s="33" t="s">
        <v>251</v>
      </c>
      <c r="G11" s="33" t="s">
        <v>251</v>
      </c>
      <c r="H11" s="33" t="s">
        <v>251</v>
      </c>
    </row>
    <row r="12" spans="1:8" ht="15.75" thickBot="1">
      <c r="A12" s="25">
        <v>6</v>
      </c>
      <c r="B12" s="55" t="s">
        <v>319</v>
      </c>
      <c r="C12" s="30" t="s">
        <v>271</v>
      </c>
      <c r="D12" s="56"/>
      <c r="E12" s="33" t="s">
        <v>251</v>
      </c>
      <c r="F12" s="33" t="s">
        <v>251</v>
      </c>
      <c r="G12" s="33" t="s">
        <v>251</v>
      </c>
      <c r="H12" s="33" t="s">
        <v>251</v>
      </c>
    </row>
    <row r="13" spans="1:8" ht="15.75" thickBot="1">
      <c r="A13" s="25">
        <v>7</v>
      </c>
      <c r="B13" s="55" t="s">
        <v>320</v>
      </c>
      <c r="C13" s="30" t="s">
        <v>271</v>
      </c>
      <c r="D13" s="56"/>
      <c r="E13" s="33" t="s">
        <v>251</v>
      </c>
      <c r="F13" s="33" t="s">
        <v>251</v>
      </c>
      <c r="G13" s="33" t="s">
        <v>251</v>
      </c>
      <c r="H13" s="33" t="s">
        <v>251</v>
      </c>
    </row>
    <row r="14" spans="1:8" ht="15.75" thickBot="1">
      <c r="A14" s="25">
        <v>8</v>
      </c>
      <c r="B14" s="267" t="s">
        <v>321</v>
      </c>
      <c r="C14" s="268" t="s">
        <v>271</v>
      </c>
      <c r="D14" s="269">
        <f>IF(OR(D11="nd",D12="nd",D13="nd"),"nd",SUM(D11:D13))</f>
        <v>0</v>
      </c>
      <c r="E14" s="269">
        <f>IF(OR(E11="nd",E12="nd",E13="nd"),"nd",SUM(E11:E13))</f>
        <v>0</v>
      </c>
      <c r="F14" s="269">
        <f>IF(OR(F11="nd",F12="nd",F13="nd"),"nd",SUM(F11:F13))</f>
        <v>0</v>
      </c>
      <c r="G14" s="269">
        <f>IF(OR(G11="nd",G12="nd",G13="nd"),"nd",SUM(G11:G13))</f>
        <v>0</v>
      </c>
      <c r="H14" s="269">
        <f>IF(OR(H11="nd",H12="nd",H13="nd"),"nd",SUM(H11:H13))</f>
        <v>0</v>
      </c>
    </row>
    <row r="15" spans="1:8" ht="15.75" thickBot="1">
      <c r="A15" s="25">
        <v>9</v>
      </c>
      <c r="B15" s="55" t="s">
        <v>322</v>
      </c>
      <c r="C15" s="30" t="s">
        <v>271</v>
      </c>
      <c r="D15" s="56"/>
      <c r="E15" s="33" t="s">
        <v>251</v>
      </c>
      <c r="F15" s="33" t="s">
        <v>251</v>
      </c>
      <c r="G15" s="33" t="s">
        <v>251</v>
      </c>
      <c r="H15" s="33" t="s">
        <v>959</v>
      </c>
    </row>
    <row r="16" spans="1:8" ht="15.75" thickBot="1">
      <c r="A16" s="25">
        <v>10</v>
      </c>
      <c r="B16" s="55" t="s">
        <v>323</v>
      </c>
      <c r="C16" s="30" t="s">
        <v>271</v>
      </c>
      <c r="D16" s="56"/>
      <c r="E16" s="33" t="s">
        <v>251</v>
      </c>
      <c r="F16" s="33" t="s">
        <v>251</v>
      </c>
      <c r="G16" s="33" t="s">
        <v>251</v>
      </c>
      <c r="H16" s="33" t="s">
        <v>251</v>
      </c>
    </row>
    <row r="17" spans="1:11" ht="15.75" thickBot="1">
      <c r="A17" s="25">
        <v>11</v>
      </c>
      <c r="B17" s="55" t="s">
        <v>324</v>
      </c>
      <c r="C17" s="30" t="s">
        <v>271</v>
      </c>
      <c r="D17" s="56"/>
      <c r="E17" s="33" t="s">
        <v>251</v>
      </c>
      <c r="F17" s="33" t="s">
        <v>251</v>
      </c>
      <c r="G17" s="33" t="s">
        <v>251</v>
      </c>
      <c r="H17" s="33" t="s">
        <v>251</v>
      </c>
    </row>
    <row r="18" spans="1:11" ht="15.75" thickBot="1">
      <c r="A18" s="25">
        <v>12</v>
      </c>
      <c r="B18" s="267" t="s">
        <v>325</v>
      </c>
      <c r="C18" s="268" t="s">
        <v>271</v>
      </c>
      <c r="D18" s="269">
        <f>IF(OR(D15="nd",D16="nd",D17="nd"),"nd",SUM(D15:D17))</f>
        <v>0</v>
      </c>
      <c r="E18" s="269">
        <f>IF(OR(E15="nd",E16="nd",E17="nd"),"nd",SUM(E15:E17))</f>
        <v>0</v>
      </c>
      <c r="F18" s="269">
        <f>IF(OR(F15="nd",F16="nd",F17="nd"),"nd",SUM(F15:F17))</f>
        <v>0</v>
      </c>
      <c r="G18" s="269">
        <f>IF(OR(G15="nd",G16="nd",G17="nd"),"nd",SUM(G15:G17))</f>
        <v>0</v>
      </c>
      <c r="H18" s="269">
        <f>IF(OR(H15="nd",H16="nd",H17="nd"),"nd",SUM(H15:H17))</f>
        <v>0</v>
      </c>
    </row>
    <row r="19" spans="1:11" ht="15.75" thickBot="1">
      <c r="A19" s="25">
        <v>13</v>
      </c>
      <c r="B19" s="55" t="s">
        <v>326</v>
      </c>
      <c r="C19" s="30" t="s">
        <v>271</v>
      </c>
      <c r="D19" s="56"/>
      <c r="E19" s="33" t="s">
        <v>251</v>
      </c>
      <c r="F19" s="33" t="s">
        <v>251</v>
      </c>
      <c r="G19" s="33" t="s">
        <v>251</v>
      </c>
      <c r="H19" s="33" t="s">
        <v>251</v>
      </c>
    </row>
    <row r="20" spans="1:11" ht="15.75" thickBot="1">
      <c r="A20" s="25">
        <v>14</v>
      </c>
      <c r="B20" s="55" t="s">
        <v>327</v>
      </c>
      <c r="C20" s="30" t="s">
        <v>271</v>
      </c>
      <c r="D20" s="56"/>
      <c r="E20" s="33" t="s">
        <v>251</v>
      </c>
      <c r="F20" s="33" t="s">
        <v>251</v>
      </c>
      <c r="G20" s="33" t="s">
        <v>251</v>
      </c>
      <c r="H20" s="33" t="s">
        <v>251</v>
      </c>
    </row>
    <row r="21" spans="1:11" ht="15.75" thickBot="1">
      <c r="A21" s="25">
        <v>15</v>
      </c>
      <c r="B21" s="55" t="s">
        <v>328</v>
      </c>
      <c r="C21" s="30" t="s">
        <v>271</v>
      </c>
      <c r="D21" s="56"/>
      <c r="E21" s="33" t="s">
        <v>251</v>
      </c>
      <c r="F21" s="33" t="s">
        <v>251</v>
      </c>
      <c r="G21" s="33" t="s">
        <v>251</v>
      </c>
      <c r="H21" s="33" t="s">
        <v>251</v>
      </c>
    </row>
    <row r="22" spans="1:11" ht="15.75" thickBot="1">
      <c r="A22" s="25">
        <v>16</v>
      </c>
      <c r="B22" s="267" t="s">
        <v>329</v>
      </c>
      <c r="C22" s="268" t="s">
        <v>271</v>
      </c>
      <c r="D22" s="269">
        <f>IF(OR(D19="nd",D20="nd",D21="nd"),"nd",SUM(D19:D21))</f>
        <v>0</v>
      </c>
      <c r="E22" s="269">
        <f>IF(OR(E19="nd",E20="nd",E21="nd"),"nd",SUM(E19:E21))</f>
        <v>0</v>
      </c>
      <c r="F22" s="269">
        <f>IF(OR(F19="nd",F20="nd",F21="nd"),"nd",SUM(F19:F21))</f>
        <v>0</v>
      </c>
      <c r="G22" s="269">
        <f>IF(OR(G19="nd",G20="nd",G21="nd"),"nd",SUM(G19:G21))</f>
        <v>0</v>
      </c>
      <c r="H22" s="269">
        <f>IF(OR(H19="nd",H20="nd",H21="nd"),"nd",SUM(H19:H21))</f>
        <v>0</v>
      </c>
      <c r="I22" s="273">
        <f>ROUND(H22*(1+K30),0)</f>
        <v>0</v>
      </c>
    </row>
    <row r="23" spans="1:11" ht="15.75" thickBot="1">
      <c r="A23" s="25">
        <v>17</v>
      </c>
      <c r="B23" s="267" t="s">
        <v>330</v>
      </c>
      <c r="C23" s="268" t="s">
        <v>271</v>
      </c>
      <c r="D23" s="269">
        <f>IF(OR(D10="nd",D14="nd",D18="nd",D22="nd"),"nd",SUM(D10,D14,D18,D22))</f>
        <v>13712</v>
      </c>
      <c r="E23" s="269">
        <f>IF(OR(E10="nd",E14="nd",E18="nd",E22="nd"),"nd",SUM(E10,E14,E18,E22))</f>
        <v>13784</v>
      </c>
      <c r="F23" s="269">
        <f>IF(OR(F10="nd",F14="nd",F18="nd",F22="nd"),"nd",SUM(F10,F14,F18,F22))</f>
        <v>14167</v>
      </c>
      <c r="G23" s="269">
        <f>IF(OR(G10="nd",G14="nd",G18="nd",G22="nd"),"nd",SUM(G10,G14,G18,G22))</f>
        <v>14857</v>
      </c>
      <c r="H23" s="269">
        <f>IF(OR(H10="nd",H14="nd",H18="nd",H22="nd"),"nd",SUM(H10,H14,H18,H22))</f>
        <v>16239</v>
      </c>
      <c r="I23" s="273">
        <f>I22+K29</f>
        <v>17470</v>
      </c>
    </row>
    <row r="24" spans="1:11">
      <c r="A24" s="57"/>
      <c r="B24" s="57"/>
      <c r="C24" s="57"/>
      <c r="D24" s="58"/>
      <c r="E24" s="58"/>
      <c r="F24" s="58"/>
      <c r="G24" s="58"/>
      <c r="H24" s="58"/>
    </row>
    <row r="25" spans="1:11">
      <c r="A25" s="59"/>
      <c r="B25" s="61" t="s">
        <v>331</v>
      </c>
      <c r="C25" s="61" t="s">
        <v>258</v>
      </c>
      <c r="D25" s="62" t="str">
        <f>'General Info'!D4</f>
        <v>FY 2008-2009</v>
      </c>
      <c r="E25" s="62" t="str">
        <f>'General Info'!E4</f>
        <v>FY 2009-2010</v>
      </c>
      <c r="F25" s="62" t="str">
        <f>'General Info'!F4</f>
        <v>FY 2010-2011</v>
      </c>
      <c r="G25" s="62" t="str">
        <f>'General Info'!G4</f>
        <v>FY 2011-2012</v>
      </c>
      <c r="H25" s="62" t="str">
        <f>'General Info'!H4</f>
        <v>FY 2012-2013</v>
      </c>
    </row>
    <row r="26" spans="1:11" ht="15.75" thickBot="1">
      <c r="A26" s="25">
        <v>18</v>
      </c>
      <c r="B26" s="55" t="s">
        <v>332</v>
      </c>
      <c r="C26" s="30" t="s">
        <v>271</v>
      </c>
      <c r="D26" s="31">
        <v>13712</v>
      </c>
      <c r="E26" s="31">
        <v>13784</v>
      </c>
      <c r="F26" s="31">
        <v>14167</v>
      </c>
      <c r="G26" s="31">
        <v>14857</v>
      </c>
      <c r="H26" s="31">
        <v>16239</v>
      </c>
      <c r="I26" s="273">
        <f>IFERROR(H10/H26,0)</f>
        <v>1</v>
      </c>
      <c r="J26" s="273">
        <f>IFERROR(H26/$H$29,0)</f>
        <v>1</v>
      </c>
      <c r="K26" s="273">
        <f>ROUND('ULB target'!M23*water!I26*water!J26,0)</f>
        <v>17470</v>
      </c>
    </row>
    <row r="27" spans="1:11" ht="15.75" thickBot="1">
      <c r="A27" s="25">
        <v>19</v>
      </c>
      <c r="B27" s="55" t="s">
        <v>333</v>
      </c>
      <c r="C27" s="30" t="s">
        <v>271</v>
      </c>
      <c r="D27" s="56"/>
      <c r="E27" s="33" t="s">
        <v>251</v>
      </c>
      <c r="F27" s="33" t="s">
        <v>251</v>
      </c>
      <c r="G27" s="33" t="s">
        <v>251</v>
      </c>
      <c r="H27" s="33" t="s">
        <v>251</v>
      </c>
      <c r="I27" s="273">
        <f>IFERROR(H14/H27,0)</f>
        <v>0</v>
      </c>
      <c r="J27" s="273">
        <f>IFERROR(H27/$H$29,0)</f>
        <v>0</v>
      </c>
      <c r="K27" s="273">
        <f>ROUND('ULB target'!M23*water!I27*water!J27,0)</f>
        <v>0</v>
      </c>
    </row>
    <row r="28" spans="1:11" ht="15.75" thickBot="1">
      <c r="A28" s="25">
        <v>20</v>
      </c>
      <c r="B28" s="55" t="s">
        <v>334</v>
      </c>
      <c r="C28" s="30" t="s">
        <v>271</v>
      </c>
      <c r="D28" s="56"/>
      <c r="E28" s="33" t="s">
        <v>251</v>
      </c>
      <c r="F28" s="33" t="s">
        <v>251</v>
      </c>
      <c r="G28" s="33" t="s">
        <v>251</v>
      </c>
      <c r="H28" s="33" t="s">
        <v>959</v>
      </c>
      <c r="I28" s="273">
        <f>IFERROR(H18/H28,0)</f>
        <v>0</v>
      </c>
      <c r="J28" s="273">
        <f>IFERROR(H28/$H$29,0)</f>
        <v>0</v>
      </c>
      <c r="K28" s="273">
        <f>ROUND('ULB target'!M23*water!I28*water!J28,0)</f>
        <v>0</v>
      </c>
    </row>
    <row r="29" spans="1:11" ht="15.75" thickBot="1">
      <c r="A29" s="25">
        <v>21</v>
      </c>
      <c r="B29" s="267" t="s">
        <v>335</v>
      </c>
      <c r="C29" s="268" t="s">
        <v>271</v>
      </c>
      <c r="D29" s="269">
        <f>IF(OR(D26="nd",D27="nd",D28="nd"),"nd",SUM(D26:D28))</f>
        <v>13712</v>
      </c>
      <c r="E29" s="269">
        <f>IF(OR(E26="nd",E27="nd",E28="nd"),"nd",SUM(E26:E28))</f>
        <v>13784</v>
      </c>
      <c r="F29" s="269">
        <f>IF(OR(F26="nd",F27="nd",F28="nd"),"nd",SUM(F26:F28))</f>
        <v>14167</v>
      </c>
      <c r="G29" s="269">
        <f>IF(OR(G26="nd",G27="nd",G28="nd"),"nd",SUM(G26:G28))</f>
        <v>14857</v>
      </c>
      <c r="H29" s="274">
        <f>IF(OR(H26="nd",H27="nd",H28="nd"),"nd",SUM(H26:H28))</f>
        <v>16239</v>
      </c>
      <c r="I29" s="273"/>
      <c r="J29" s="273"/>
      <c r="K29" s="273">
        <f>SUM(K26,K27,K28)</f>
        <v>17470</v>
      </c>
    </row>
    <row r="30" spans="1:11" ht="18" thickBot="1">
      <c r="A30" s="63"/>
      <c r="B30" s="64" t="s">
        <v>336</v>
      </c>
      <c r="C30" s="65"/>
      <c r="D30" s="66"/>
      <c r="E30" s="66"/>
      <c r="F30" s="66"/>
      <c r="G30" s="66"/>
      <c r="H30" s="66"/>
      <c r="K30" s="273">
        <f>(K29-H10+H14+H18)/(H10+H14+H18)</f>
        <v>7.5805160416281797E-2</v>
      </c>
    </row>
    <row r="31" spans="1:11">
      <c r="A31" s="67"/>
      <c r="B31" s="68" t="s">
        <v>337</v>
      </c>
      <c r="C31" s="68" t="s">
        <v>338</v>
      </c>
      <c r="D31" s="68">
        <f>IF(OR(D42="nd",D43="nd",D44="nd",D46="nd",D49="nd",'General Info'!D8="nd"),"nd",SUM(D42,D43,D44,D46,D49)*10^6/'General Info'!D8)</f>
        <v>98.22451317296678</v>
      </c>
      <c r="E31" s="68">
        <f>IF(OR(E42="nd",E43="nd",E44="nd",E46="nd",E49="nd",'General Info'!E8="nd"),"nd",SUM(E42,E43,E44,E46,E49)*10^6/'General Info'!E8)</f>
        <v>115.65557729941293</v>
      </c>
      <c r="F31" s="68">
        <f>IF(OR(F42="nd",F43="nd",F44="nd",F46="nd",F49="nd",'General Info'!F8="nd"),"nd",SUM(F42,F43,F44,F46,F49)*10^6/'General Info'!F8)</f>
        <v>116.0841070453304</v>
      </c>
      <c r="G31" s="68">
        <f>IF(OR(G42="nd",G43="nd",G44="nd",G46="nd",G49="nd",'General Info'!G8="nd"),"nd",SUM(G42,G43,G44,G46,G49)*10^6/'General Info'!G8)</f>
        <v>137.84159885493148</v>
      </c>
      <c r="H31" s="68">
        <f>IF(OR(H42="nd",H43="nd",H44="nd",H46="nd",H49="nd",'General Info'!H8="nd"),"nd",SUM(H42,H43,H44,H46,H49)*10^6/'General Info'!H8)</f>
        <v>137.24960785826326</v>
      </c>
      <c r="I31" s="276"/>
      <c r="J31" s="276"/>
      <c r="K31" s="276"/>
    </row>
    <row r="32" spans="1:11">
      <c r="A32" s="59"/>
      <c r="B32" s="61" t="s">
        <v>339</v>
      </c>
      <c r="C32" s="61" t="s">
        <v>258</v>
      </c>
      <c r="D32" s="271" t="str">
        <f>'General Info'!D4</f>
        <v>FY 2008-2009</v>
      </c>
      <c r="E32" s="271" t="str">
        <f>'General Info'!E4</f>
        <v>FY 2009-2010</v>
      </c>
      <c r="F32" s="271" t="str">
        <f>'General Info'!F4</f>
        <v>FY 2010-2011</v>
      </c>
      <c r="G32" s="271" t="str">
        <f>'General Info'!G4</f>
        <v>FY 2011-2012</v>
      </c>
      <c r="H32" s="271" t="str">
        <f>'General Info'!H4</f>
        <v>FY 2012-2013</v>
      </c>
    </row>
    <row r="33" spans="1:10" ht="15.75" thickBot="1">
      <c r="A33" s="25">
        <v>22</v>
      </c>
      <c r="B33" s="55" t="s">
        <v>340</v>
      </c>
      <c r="C33" s="30" t="s">
        <v>252</v>
      </c>
      <c r="D33" s="33">
        <v>0</v>
      </c>
      <c r="E33" s="33" t="s">
        <v>251</v>
      </c>
      <c r="F33" s="33" t="s">
        <v>251</v>
      </c>
      <c r="G33" s="33" t="s">
        <v>251</v>
      </c>
      <c r="H33" s="33" t="s">
        <v>251</v>
      </c>
    </row>
    <row r="34" spans="1:10" ht="15.75" thickBot="1">
      <c r="A34" s="25">
        <v>23</v>
      </c>
      <c r="B34" s="55" t="s">
        <v>341</v>
      </c>
      <c r="C34" s="30" t="s">
        <v>252</v>
      </c>
      <c r="D34" s="33">
        <v>0</v>
      </c>
      <c r="E34" s="33" t="s">
        <v>251</v>
      </c>
      <c r="F34" s="33" t="s">
        <v>251</v>
      </c>
      <c r="G34" s="33" t="s">
        <v>251</v>
      </c>
      <c r="H34" s="33" t="s">
        <v>251</v>
      </c>
    </row>
    <row r="35" spans="1:10" ht="15.75" thickBot="1">
      <c r="A35" s="25">
        <v>24</v>
      </c>
      <c r="B35" s="55" t="s">
        <v>342</v>
      </c>
      <c r="C35" s="30" t="s">
        <v>252</v>
      </c>
      <c r="D35" s="56"/>
      <c r="E35" s="33" t="s">
        <v>251</v>
      </c>
      <c r="F35" s="33" t="s">
        <v>251</v>
      </c>
      <c r="G35" s="33" t="s">
        <v>251</v>
      </c>
      <c r="H35" s="33" t="s">
        <v>251</v>
      </c>
    </row>
    <row r="36" spans="1:10" ht="15.75" thickBot="1">
      <c r="A36" s="25">
        <v>25</v>
      </c>
      <c r="B36" s="55" t="s">
        <v>343</v>
      </c>
      <c r="C36" s="30" t="s">
        <v>252</v>
      </c>
      <c r="D36" s="33">
        <v>0</v>
      </c>
      <c r="E36" s="33" t="s">
        <v>251</v>
      </c>
      <c r="F36" s="33" t="s">
        <v>251</v>
      </c>
      <c r="G36" s="33" t="s">
        <v>251</v>
      </c>
      <c r="H36" s="33" t="s">
        <v>251</v>
      </c>
    </row>
    <row r="37" spans="1:10" ht="15.75" thickBot="1">
      <c r="A37" s="25">
        <v>26</v>
      </c>
      <c r="B37" s="55" t="s">
        <v>344</v>
      </c>
      <c r="C37" s="30" t="s">
        <v>252</v>
      </c>
      <c r="D37" s="33">
        <v>11.6</v>
      </c>
      <c r="E37" s="33">
        <v>13</v>
      </c>
      <c r="F37" s="33">
        <v>13</v>
      </c>
      <c r="G37" s="33">
        <v>14.79</v>
      </c>
      <c r="H37" s="33">
        <v>14.79</v>
      </c>
    </row>
    <row r="38" spans="1:10" ht="15.75" thickBot="1">
      <c r="A38" s="25">
        <v>27</v>
      </c>
      <c r="B38" s="267" t="s">
        <v>345</v>
      </c>
      <c r="C38" s="268" t="s">
        <v>252</v>
      </c>
      <c r="D38" s="269">
        <f>IF(OR(D33="nd",D35="nd"),"nd",SUM(D33,D35))</f>
        <v>0</v>
      </c>
      <c r="E38" s="269">
        <f>IF(OR(E33="nd",E35="nd"),"nd",SUM(E33,E35))</f>
        <v>0</v>
      </c>
      <c r="F38" s="269">
        <f>IF(OR(F33="nd",F35="nd"),"nd",SUM(F33,F35))</f>
        <v>0</v>
      </c>
      <c r="G38" s="269">
        <f>IF(OR(G33="nd",G35="nd"),"nd",SUM(G33,G35))</f>
        <v>0</v>
      </c>
      <c r="H38" s="269">
        <f>IF(OR(H33="nd",H35="nd"),"nd",SUM(H33,H35))</f>
        <v>0</v>
      </c>
    </row>
    <row r="39" spans="1:10" ht="15.75" thickBot="1">
      <c r="A39" s="25">
        <v>28</v>
      </c>
      <c r="B39" s="267" t="s">
        <v>346</v>
      </c>
      <c r="C39" s="268" t="s">
        <v>252</v>
      </c>
      <c r="D39" s="269">
        <f>IF(OR(D34="nd",D36="nd",D37="nd"),"nd",SUM(D34,D36,D37))</f>
        <v>11.6</v>
      </c>
      <c r="E39" s="269">
        <f>IF(OR(E34="nd",E36="nd",E37="nd"),"nd",SUM(E34,E36,E37))</f>
        <v>13</v>
      </c>
      <c r="F39" s="269">
        <f>IF(OR(F34="nd",F36="nd",F37="nd"),"nd",SUM(F34,F36,F37))</f>
        <v>13</v>
      </c>
      <c r="G39" s="269">
        <f>IF(OR(G34="nd",G36="nd",G37="nd"),"nd",SUM(G34,G36,G37))</f>
        <v>14.79</v>
      </c>
      <c r="H39" s="269">
        <f>IF(OR(H34="nd",H36="nd",H37="nd"),"nd",SUM(H34,H36,H37))</f>
        <v>14.79</v>
      </c>
    </row>
    <row r="40" spans="1:10">
      <c r="A40" s="57"/>
      <c r="B40" s="57"/>
      <c r="C40" s="57"/>
      <c r="D40" s="57"/>
      <c r="E40" s="57"/>
      <c r="F40" s="57"/>
      <c r="G40" s="57"/>
      <c r="H40" s="57"/>
    </row>
    <row r="41" spans="1:10">
      <c r="A41" s="59"/>
      <c r="B41" s="61" t="s">
        <v>347</v>
      </c>
      <c r="C41" s="61" t="s">
        <v>258</v>
      </c>
      <c r="D41" s="271" t="str">
        <f>'General Info'!D4</f>
        <v>FY 2008-2009</v>
      </c>
      <c r="E41" s="271" t="str">
        <f>'General Info'!E4</f>
        <v>FY 2009-2010</v>
      </c>
      <c r="F41" s="271" t="str">
        <f>'General Info'!F4</f>
        <v>FY 2010-2011</v>
      </c>
      <c r="G41" s="271" t="str">
        <f>'General Info'!G4</f>
        <v>FY 2011-2012</v>
      </c>
      <c r="H41" s="271" t="str">
        <f>'General Info'!H4</f>
        <v>FY 2012-2013</v>
      </c>
    </row>
    <row r="42" spans="1:10" ht="15.75" thickBot="1">
      <c r="A42" s="25">
        <v>29</v>
      </c>
      <c r="B42" s="55" t="s">
        <v>348</v>
      </c>
      <c r="C42" s="30" t="s">
        <v>252</v>
      </c>
      <c r="D42" s="33">
        <v>6.86</v>
      </c>
      <c r="E42" s="33">
        <v>8.27</v>
      </c>
      <c r="F42" s="33">
        <v>8.5</v>
      </c>
      <c r="G42" s="33">
        <v>10.4</v>
      </c>
      <c r="H42" s="33">
        <v>10.66</v>
      </c>
      <c r="I42" s="277">
        <f t="shared" ref="I42:I47" si="0">J42*$I$48</f>
        <v>10.66</v>
      </c>
      <c r="J42" s="277">
        <f>H42/$H$48</f>
        <v>0.95008912655971478</v>
      </c>
    </row>
    <row r="43" spans="1:10" ht="15.75" thickBot="1">
      <c r="A43" s="25">
        <v>30</v>
      </c>
      <c r="B43" s="55" t="s">
        <v>349</v>
      </c>
      <c r="C43" s="30" t="s">
        <v>252</v>
      </c>
      <c r="D43" s="56"/>
      <c r="E43" s="33" t="s">
        <v>251</v>
      </c>
      <c r="F43" s="33" t="s">
        <v>251</v>
      </c>
      <c r="G43" s="33" t="s">
        <v>251</v>
      </c>
      <c r="H43" s="33" t="s">
        <v>251</v>
      </c>
      <c r="I43" s="277">
        <f t="shared" si="0"/>
        <v>0</v>
      </c>
      <c r="J43" s="277">
        <f>IFERROR(H43/$H$48,0)</f>
        <v>0</v>
      </c>
    </row>
    <row r="44" spans="1:10" ht="15.75" thickBot="1">
      <c r="A44" s="25">
        <v>31</v>
      </c>
      <c r="B44" s="55" t="s">
        <v>350</v>
      </c>
      <c r="C44" s="30" t="s">
        <v>252</v>
      </c>
      <c r="D44" s="56"/>
      <c r="E44" s="33" t="s">
        <v>251</v>
      </c>
      <c r="F44" s="33" t="s">
        <v>251</v>
      </c>
      <c r="G44" s="33" t="s">
        <v>251</v>
      </c>
      <c r="H44" s="33" t="s">
        <v>251</v>
      </c>
      <c r="I44" s="277">
        <f t="shared" si="0"/>
        <v>0</v>
      </c>
      <c r="J44" s="277">
        <f t="shared" ref="J44:J47" si="1">IFERROR(H44/$H$48,0)</f>
        <v>0</v>
      </c>
    </row>
    <row r="45" spans="1:10" ht="15.75" thickBot="1">
      <c r="A45" s="25">
        <v>32</v>
      </c>
      <c r="B45" s="55" t="s">
        <v>351</v>
      </c>
      <c r="C45" s="30" t="s">
        <v>252</v>
      </c>
      <c r="D45" s="33">
        <v>0</v>
      </c>
      <c r="E45" s="33">
        <v>0.42</v>
      </c>
      <c r="F45" s="33">
        <v>0.4</v>
      </c>
      <c r="G45" s="33">
        <v>0.47670000000000001</v>
      </c>
      <c r="H45" s="33">
        <v>0.56000000000000005</v>
      </c>
      <c r="I45" s="277">
        <f t="shared" si="0"/>
        <v>0.56000000000000005</v>
      </c>
      <c r="J45" s="277">
        <f t="shared" si="1"/>
        <v>4.9910873440285206E-2</v>
      </c>
    </row>
    <row r="46" spans="1:10" ht="15.75" thickBot="1">
      <c r="A46" s="25">
        <v>33</v>
      </c>
      <c r="B46" s="55" t="s">
        <v>352</v>
      </c>
      <c r="C46" s="30" t="s">
        <v>252</v>
      </c>
      <c r="D46" s="56"/>
      <c r="E46" s="33">
        <v>2E-3</v>
      </c>
      <c r="F46" s="33">
        <v>1E-3</v>
      </c>
      <c r="G46" s="33" t="s">
        <v>251</v>
      </c>
      <c r="H46" s="33" t="s">
        <v>251</v>
      </c>
      <c r="I46" s="277">
        <f t="shared" si="0"/>
        <v>0</v>
      </c>
      <c r="J46" s="277">
        <f t="shared" si="1"/>
        <v>0</v>
      </c>
    </row>
    <row r="47" spans="1:10" ht="15.75" thickBot="1">
      <c r="A47" s="25">
        <v>34</v>
      </c>
      <c r="B47" s="55" t="s">
        <v>353</v>
      </c>
      <c r="C47" s="30" t="s">
        <v>252</v>
      </c>
      <c r="D47" s="56"/>
      <c r="E47" s="33" t="s">
        <v>251</v>
      </c>
      <c r="F47" s="33" t="s">
        <v>251</v>
      </c>
      <c r="G47" s="33" t="s">
        <v>251</v>
      </c>
      <c r="H47" s="33" t="s">
        <v>251</v>
      </c>
      <c r="I47" s="277">
        <f t="shared" si="0"/>
        <v>0</v>
      </c>
      <c r="J47" s="277">
        <f t="shared" si="1"/>
        <v>0</v>
      </c>
    </row>
    <row r="48" spans="1:10" ht="15.75" thickBot="1">
      <c r="A48" s="25">
        <v>35</v>
      </c>
      <c r="B48" s="267" t="s">
        <v>354</v>
      </c>
      <c r="C48" s="268" t="s">
        <v>252</v>
      </c>
      <c r="D48" s="269">
        <f>IF(OR(D42="nd",D43="nd",D44="nd",D45="nd",D46="nd",D47="nd"),"nd",SUM(D42,D45,D43,D46,D47,D44))</f>
        <v>6.86</v>
      </c>
      <c r="E48" s="269">
        <f>IF(OR(E42="nd",E43="nd",E44="nd",E45="nd",E46="nd",E47="nd"),"nd",SUM(E42,E45,E43,E46,E47,E44))</f>
        <v>8.6920000000000002</v>
      </c>
      <c r="F48" s="269">
        <f>IF(OR(F42="nd",F43="nd",F44="nd",F45="nd",F46="nd",F47="nd"),"nd",SUM(F42,F45,F43,F46,F47,F44))</f>
        <v>8.9009999999999998</v>
      </c>
      <c r="G48" s="269">
        <f>IF(OR(G42="nd",G43="nd",G44="nd",G45="nd",G46="nd",G47="nd"),"nd",SUM(G42,G45,G43,G46,G47,G44))</f>
        <v>10.8767</v>
      </c>
      <c r="H48" s="269">
        <f>IF(OR(H42="nd",H43="nd",H44="nd",H45="nd",H46="nd",H47="nd"),"nd",SUM(H42,H45,H43,H46,H47,H44))</f>
        <v>11.22</v>
      </c>
      <c r="I48" s="277">
        <f>'ULB target'!K32*(100-'ULB target'!K39)/100</f>
        <v>11.22</v>
      </c>
      <c r="J48" s="277"/>
    </row>
    <row r="49" spans="1:10" ht="15.75" thickBot="1">
      <c r="A49" s="25">
        <v>36</v>
      </c>
      <c r="B49" s="55" t="s">
        <v>355</v>
      </c>
      <c r="C49" s="30" t="s">
        <v>252</v>
      </c>
      <c r="D49" s="56"/>
      <c r="E49" s="33">
        <v>2E-3</v>
      </c>
      <c r="F49" s="33">
        <v>1E-3</v>
      </c>
      <c r="G49" s="33">
        <v>6.9999999999999999E-4</v>
      </c>
      <c r="H49" s="33">
        <v>1.4999999999999999E-2</v>
      </c>
      <c r="I49" s="277">
        <f>J49*'ULB target'!K32</f>
        <v>1.1379310344827587E-2</v>
      </c>
      <c r="J49" s="278">
        <f>(H49/H39)*(100-'ULB target'!K39)/100</f>
        <v>7.6939218017765972E-4</v>
      </c>
    </row>
    <row r="50" spans="1:10" ht="15.75" thickBot="1">
      <c r="A50" s="25">
        <v>37</v>
      </c>
      <c r="B50" s="55" t="s">
        <v>356</v>
      </c>
      <c r="C50" s="30" t="s">
        <v>252</v>
      </c>
      <c r="D50" s="56"/>
      <c r="E50" s="33">
        <v>1.4999999999999999E-2</v>
      </c>
      <c r="F50" s="33">
        <v>1.4999999999999999E-2</v>
      </c>
      <c r="G50" s="33" t="s">
        <v>251</v>
      </c>
      <c r="H50" s="33">
        <v>0.02</v>
      </c>
      <c r="I50" s="279"/>
      <c r="J50" s="280"/>
    </row>
    <row r="51" spans="1:10">
      <c r="A51" s="840"/>
      <c r="B51" s="840"/>
      <c r="C51" s="840"/>
      <c r="D51" s="840"/>
      <c r="E51" s="840"/>
      <c r="F51" s="69"/>
      <c r="G51" s="69"/>
      <c r="H51" s="69"/>
      <c r="I51" s="277">
        <f>I48+I49</f>
        <v>11.231379310344828</v>
      </c>
    </row>
    <row r="52" spans="1:10">
      <c r="A52" s="67"/>
      <c r="B52" s="68" t="s">
        <v>357</v>
      </c>
      <c r="C52" s="68" t="s">
        <v>268</v>
      </c>
      <c r="D52" s="68">
        <f>IF(OR(D53="nd",D54="nd"),"nd",(D53-D54)*100/D53)</f>
        <v>40.862068965517238</v>
      </c>
      <c r="E52" s="68">
        <f>IF(OR(E53="nd",E54="nd"),"nd",(E53-E54)*100/E53)</f>
        <v>33.138461538461534</v>
      </c>
      <c r="F52" s="68">
        <f>IF(OR(F53="nd",F54="nd"),"nd",(F53-F54)*100/F53)</f>
        <v>31.530769230769234</v>
      </c>
      <c r="G52" s="68">
        <f>IF(OR(G53="nd",G54="nd"),"nd",(G53-G54)*100/G53)</f>
        <v>26.459093982420551</v>
      </c>
      <c r="H52" s="68">
        <f>IF(OR(H53="nd",H54="nd"),"nd",(H53-H54)*100/H53)</f>
        <v>24.137931034482747</v>
      </c>
    </row>
    <row r="53" spans="1:10" ht="15.75" thickBot="1">
      <c r="A53" s="25">
        <v>38</v>
      </c>
      <c r="B53" s="267" t="s">
        <v>358</v>
      </c>
      <c r="C53" s="268" t="s">
        <v>252</v>
      </c>
      <c r="D53" s="269">
        <f>D39</f>
        <v>11.6</v>
      </c>
      <c r="E53" s="269">
        <f>E39</f>
        <v>13</v>
      </c>
      <c r="F53" s="269">
        <f>F39</f>
        <v>13</v>
      </c>
      <c r="G53" s="269">
        <f>G39</f>
        <v>14.79</v>
      </c>
      <c r="H53" s="269">
        <f>H39</f>
        <v>14.79</v>
      </c>
    </row>
    <row r="54" spans="1:10" ht="15.75" thickBot="1">
      <c r="A54" s="25">
        <v>39</v>
      </c>
      <c r="B54" s="267" t="s">
        <v>359</v>
      </c>
      <c r="C54" s="268" t="s">
        <v>252</v>
      </c>
      <c r="D54" s="269">
        <f>D48</f>
        <v>6.86</v>
      </c>
      <c r="E54" s="269">
        <f>E48</f>
        <v>8.6920000000000002</v>
      </c>
      <c r="F54" s="269">
        <f>F48</f>
        <v>8.9009999999999998</v>
      </c>
      <c r="G54" s="269">
        <f>G48</f>
        <v>10.8767</v>
      </c>
      <c r="H54" s="269">
        <f>H48</f>
        <v>11.22</v>
      </c>
    </row>
    <row r="55" spans="1:10">
      <c r="A55" s="838"/>
      <c r="B55" s="838"/>
      <c r="C55" s="838"/>
      <c r="D55" s="838"/>
      <c r="E55" s="838"/>
      <c r="F55" s="70"/>
      <c r="G55" s="70"/>
      <c r="H55" s="70"/>
    </row>
    <row r="56" spans="1:10">
      <c r="A56" s="67"/>
      <c r="B56" s="71" t="s">
        <v>360</v>
      </c>
      <c r="C56" s="71" t="s">
        <v>268</v>
      </c>
      <c r="D56" s="71">
        <f>IF(AND(D57="na",D61="na",D65="na"),"na",IF(OR(D57="nd",D61="nd",D65="nd"),"nd",SUM(D57,D61,D65)*100/D66))</f>
        <v>0</v>
      </c>
      <c r="E56" s="71" t="str">
        <f>IF(AND(E57="na",E61="na",E65="na"),"na",IF(OR(E57="nd",E61="nd",E65="nd"),"nd",SUM(E57,E61,E65)*100/E66))</f>
        <v>na</v>
      </c>
      <c r="F56" s="71" t="str">
        <f>IF(AND(F57="na",F61="na",F65="na"),"na",IF(OR(F57="nd",F61="nd",F65="nd"),"nd",SUM(F57,F61,F65)*100/F66))</f>
        <v>na</v>
      </c>
      <c r="G56" s="71" t="str">
        <f>IF(AND(G57="na",G61="na",G65="na"),"na",IF(OR(G57="nd",G61="nd",G65="nd"),"nd",SUM(G57,G61,G65)*100/G66))</f>
        <v>na</v>
      </c>
      <c r="H56" s="71" t="str">
        <f>IF(AND(H57="na",H61="na",H65="na"),"na",IF(OR(H57="nd",H61="nd",H65="nd"),"nd",SUM(H57,H61,H65)*100/H66))</f>
        <v>na</v>
      </c>
    </row>
    <row r="57" spans="1:10" ht="15.75" thickBot="1">
      <c r="A57" s="25">
        <v>40</v>
      </c>
      <c r="B57" s="55" t="s">
        <v>361</v>
      </c>
      <c r="C57" s="30" t="s">
        <v>271</v>
      </c>
      <c r="D57" s="31">
        <v>0</v>
      </c>
      <c r="E57" s="33" t="s">
        <v>251</v>
      </c>
      <c r="F57" s="33" t="s">
        <v>251</v>
      </c>
      <c r="G57" s="33" t="s">
        <v>251</v>
      </c>
      <c r="H57" s="33" t="s">
        <v>251</v>
      </c>
    </row>
    <row r="58" spans="1:10" ht="15.75" thickBot="1">
      <c r="A58" s="25">
        <v>41</v>
      </c>
      <c r="B58" s="55" t="s">
        <v>362</v>
      </c>
      <c r="C58" s="30" t="s">
        <v>271</v>
      </c>
      <c r="D58" s="31">
        <v>0</v>
      </c>
      <c r="E58" s="33" t="s">
        <v>251</v>
      </c>
      <c r="F58" s="33" t="s">
        <v>251</v>
      </c>
      <c r="G58" s="33" t="s">
        <v>251</v>
      </c>
      <c r="H58" s="33" t="s">
        <v>251</v>
      </c>
    </row>
    <row r="59" spans="1:10" ht="15.75" thickBot="1">
      <c r="A59" s="25">
        <v>42</v>
      </c>
      <c r="B59" s="55" t="s">
        <v>363</v>
      </c>
      <c r="C59" s="30" t="s">
        <v>271</v>
      </c>
      <c r="D59" s="31">
        <v>695</v>
      </c>
      <c r="E59" s="31">
        <v>704</v>
      </c>
      <c r="F59" s="31">
        <v>679</v>
      </c>
      <c r="G59" s="31">
        <v>681</v>
      </c>
      <c r="H59" s="31">
        <v>690</v>
      </c>
    </row>
    <row r="60" spans="1:10" ht="15.75" thickBot="1">
      <c r="A60" s="25">
        <v>43</v>
      </c>
      <c r="B60" s="267" t="s">
        <v>364</v>
      </c>
      <c r="C60" s="268" t="s">
        <v>271</v>
      </c>
      <c r="D60" s="269">
        <f>IF(OR(D57="nd",D58="nd",D59="nd"),"nd",SUM(D57:D59))</f>
        <v>695</v>
      </c>
      <c r="E60" s="269">
        <f>IF(OR(E57="nd",E58="nd",E59="nd"),"nd",SUM(E57:E59))</f>
        <v>704</v>
      </c>
      <c r="F60" s="269">
        <f>IF(OR(F57="nd",F58="nd",F59="nd"),"nd",SUM(F57:F59))</f>
        <v>679</v>
      </c>
      <c r="G60" s="269">
        <f>IF(OR(G57="nd",G58="nd",G59="nd"),"nd",SUM(G57:G59))</f>
        <v>681</v>
      </c>
      <c r="H60" s="269">
        <f>IF(OR(H57="nd",H58="nd",H59="nd"),"nd",SUM(H57:H59))</f>
        <v>690</v>
      </c>
      <c r="I60" s="273">
        <f>ROUND(H60*(1+K30),0)</f>
        <v>742</v>
      </c>
    </row>
    <row r="61" spans="1:10" ht="15.75" thickBot="1">
      <c r="A61" s="25">
        <v>44</v>
      </c>
      <c r="B61" s="55" t="s">
        <v>365</v>
      </c>
      <c r="C61" s="30" t="s">
        <v>271</v>
      </c>
      <c r="D61" s="31">
        <v>0</v>
      </c>
      <c r="E61" s="33" t="s">
        <v>251</v>
      </c>
      <c r="F61" s="33" t="s">
        <v>251</v>
      </c>
      <c r="G61" s="33" t="s">
        <v>251</v>
      </c>
      <c r="H61" s="33" t="s">
        <v>251</v>
      </c>
    </row>
    <row r="62" spans="1:10" ht="15.75" thickBot="1">
      <c r="A62" s="25">
        <v>45</v>
      </c>
      <c r="B62" s="55" t="s">
        <v>366</v>
      </c>
      <c r="C62" s="30" t="s">
        <v>271</v>
      </c>
      <c r="D62" s="31">
        <v>0</v>
      </c>
      <c r="E62" s="33" t="s">
        <v>251</v>
      </c>
      <c r="F62" s="33" t="s">
        <v>251</v>
      </c>
      <c r="G62" s="33" t="s">
        <v>251</v>
      </c>
      <c r="H62" s="33" t="s">
        <v>251</v>
      </c>
    </row>
    <row r="63" spans="1:10" ht="15.75" thickBot="1">
      <c r="A63" s="25">
        <v>46</v>
      </c>
      <c r="B63" s="55" t="s">
        <v>367</v>
      </c>
      <c r="C63" s="30" t="s">
        <v>271</v>
      </c>
      <c r="D63" s="31">
        <v>4</v>
      </c>
      <c r="E63" s="31">
        <v>2</v>
      </c>
      <c r="F63" s="31">
        <v>1</v>
      </c>
      <c r="G63" s="31">
        <v>1</v>
      </c>
      <c r="H63" s="31">
        <v>15</v>
      </c>
    </row>
    <row r="64" spans="1:10" ht="15.75" thickBot="1">
      <c r="A64" s="25">
        <v>47</v>
      </c>
      <c r="B64" s="267" t="s">
        <v>368</v>
      </c>
      <c r="C64" s="268" t="s">
        <v>271</v>
      </c>
      <c r="D64" s="269">
        <f>IF(OR(D61="nd",D62="nd",D63="nd"),"nd",SUM(D61:D63))</f>
        <v>4</v>
      </c>
      <c r="E64" s="269">
        <f>IF(OR(E61="nd",E62="nd",E63="nd"),"nd",SUM(E61:E63))</f>
        <v>2</v>
      </c>
      <c r="F64" s="269">
        <f>IF(OR(F61="nd",F62="nd",F63="nd"),"nd",SUM(F61:F63))</f>
        <v>1</v>
      </c>
      <c r="G64" s="269">
        <f>IF(OR(G61="nd",G62="nd",G63="nd"),"nd",SUM(G61:G63))</f>
        <v>1</v>
      </c>
      <c r="H64" s="269">
        <f>IF(OR(H61="nd",H62="nd",H63="nd"),"nd",SUM(H61:H63))</f>
        <v>15</v>
      </c>
      <c r="I64" s="273">
        <f>ROUND(H64*(1+K30),0)</f>
        <v>16</v>
      </c>
    </row>
    <row r="65" spans="1:9" ht="15.75" thickBot="1">
      <c r="A65" s="25">
        <v>48</v>
      </c>
      <c r="B65" s="267" t="s">
        <v>369</v>
      </c>
      <c r="C65" s="268" t="s">
        <v>271</v>
      </c>
      <c r="D65" s="269">
        <f>IF(AND(D7="na",D11="na",D15="na",D19="na"),"na",IF(OR(D7="nd",D11="nd",D15="nd",D19="nd"),"nd",SUM(D7,D11,D15,D19)))</f>
        <v>0</v>
      </c>
      <c r="E65" s="269" t="str">
        <f>IF(AND(E7="na",E11="na",E15="na",E19="na"),"na",IF(OR(E7="nd",E11="nd",E15="nd",E19="nd"),"nd",SUM(E7,E11,E15,E19)))</f>
        <v>na</v>
      </c>
      <c r="F65" s="269" t="str">
        <f>IF(AND(F7="na",F11="na",F15="na",F19="na"),"na",IF(OR(F7="nd",F11="nd",F15="nd",F19="nd"),"nd",SUM(F7,F11,F15,F19)))</f>
        <v>na</v>
      </c>
      <c r="G65" s="269" t="str">
        <f>IF(AND(G7="na",G11="na",G15="na",G19="na"),"na",IF(OR(G7="nd",G11="nd",G15="nd",G19="nd"),"nd",SUM(G7,G11,G15,G19)))</f>
        <v>na</v>
      </c>
      <c r="H65" s="269" t="str">
        <f>IF(AND(H7="na",H11="na",H15="na",H19="na"),"na",IF(OR(H7="nd",H11="nd",H15="nd",H19="nd"),"nd",SUM(H7,H11,H15,H19)))</f>
        <v>na</v>
      </c>
    </row>
    <row r="66" spans="1:9" ht="15.75" thickBot="1">
      <c r="A66" s="25">
        <v>49</v>
      </c>
      <c r="B66" s="267" t="s">
        <v>370</v>
      </c>
      <c r="C66" s="268" t="s">
        <v>271</v>
      </c>
      <c r="D66" s="269">
        <f t="shared" ref="D66:I66" si="2">IF(OR(D23="nd",D60="nd",D64="nd"),"nd",SUM(D23,D60,D64))</f>
        <v>14411</v>
      </c>
      <c r="E66" s="269">
        <f t="shared" si="2"/>
        <v>14490</v>
      </c>
      <c r="F66" s="269">
        <f t="shared" si="2"/>
        <v>14847</v>
      </c>
      <c r="G66" s="269">
        <f t="shared" si="2"/>
        <v>15539</v>
      </c>
      <c r="H66" s="269">
        <f t="shared" si="2"/>
        <v>16944</v>
      </c>
      <c r="I66" s="269">
        <f t="shared" si="2"/>
        <v>18228</v>
      </c>
    </row>
    <row r="67" spans="1:9">
      <c r="A67" s="838"/>
      <c r="B67" s="838"/>
      <c r="C67" s="838"/>
      <c r="D67" s="838"/>
      <c r="E67" s="838"/>
      <c r="F67" s="70"/>
      <c r="G67" s="70"/>
      <c r="H67" s="70"/>
    </row>
    <row r="68" spans="1:9">
      <c r="A68" s="67"/>
      <c r="B68" s="72" t="s">
        <v>371</v>
      </c>
      <c r="C68" s="72" t="s">
        <v>372</v>
      </c>
      <c r="D68" s="72">
        <f>IF(OR(D70="nd",D71="nd"),"nd",D71*D70/30)</f>
        <v>1</v>
      </c>
      <c r="E68" s="72">
        <f>IF(OR(E70="nd",E71="nd"),"nd",E71*E70/30)</f>
        <v>1</v>
      </c>
      <c r="F68" s="72">
        <f>IF(OR(F70="nd",F71="nd"),"nd",F71*F70/30)</f>
        <v>1</v>
      </c>
      <c r="G68" s="72">
        <f>IF(OR(G70="nd",G71="nd"),"nd",G71*G70/30)</f>
        <v>1</v>
      </c>
      <c r="H68" s="72">
        <f>IF(OR(H70="nd",H71="nd"),"nd",H71*H70/30)</f>
        <v>1</v>
      </c>
    </row>
    <row r="69" spans="1:9">
      <c r="A69" s="59"/>
      <c r="B69" s="61" t="s">
        <v>373</v>
      </c>
      <c r="C69" s="61" t="s">
        <v>258</v>
      </c>
      <c r="D69" s="271" t="str">
        <f>'General Info'!D4</f>
        <v>FY 2008-2009</v>
      </c>
      <c r="E69" s="271" t="str">
        <f>'General Info'!E4</f>
        <v>FY 2009-2010</v>
      </c>
      <c r="F69" s="271" t="str">
        <f>'General Info'!F4</f>
        <v>FY 2010-2011</v>
      </c>
      <c r="G69" s="271" t="str">
        <f>'General Info'!G4</f>
        <v>FY 2011-2012</v>
      </c>
      <c r="H69" s="271" t="str">
        <f>'General Info'!H4</f>
        <v>FY 2012-2013</v>
      </c>
    </row>
    <row r="70" spans="1:9" ht="15.75" thickBot="1">
      <c r="A70" s="25">
        <v>50</v>
      </c>
      <c r="B70" s="55" t="s">
        <v>374</v>
      </c>
      <c r="C70" s="30" t="s">
        <v>271</v>
      </c>
      <c r="D70" s="31">
        <v>30</v>
      </c>
      <c r="E70" s="31">
        <v>30</v>
      </c>
      <c r="F70" s="31">
        <v>30</v>
      </c>
      <c r="G70" s="31">
        <v>30</v>
      </c>
      <c r="H70" s="31">
        <v>30</v>
      </c>
    </row>
    <row r="71" spans="1:9" ht="15.75" thickBot="1">
      <c r="A71" s="25">
        <v>51</v>
      </c>
      <c r="B71" s="55" t="s">
        <v>375</v>
      </c>
      <c r="C71" s="30" t="s">
        <v>376</v>
      </c>
      <c r="D71" s="39">
        <v>1</v>
      </c>
      <c r="E71" s="39">
        <v>1</v>
      </c>
      <c r="F71" s="39">
        <v>1</v>
      </c>
      <c r="G71" s="39">
        <v>1</v>
      </c>
      <c r="H71" s="31">
        <v>1</v>
      </c>
    </row>
    <row r="72" spans="1:9">
      <c r="A72" s="838"/>
      <c r="B72" s="838"/>
      <c r="C72" s="838"/>
      <c r="D72" s="838"/>
      <c r="E72" s="838"/>
      <c r="F72" s="70"/>
      <c r="G72" s="70"/>
      <c r="H72" s="70"/>
    </row>
    <row r="73" spans="1:9">
      <c r="A73" s="67"/>
      <c r="B73" s="71" t="s">
        <v>377</v>
      </c>
      <c r="C73" s="71" t="s">
        <v>268</v>
      </c>
      <c r="D73" s="71">
        <f>IF(OR(D75="nd",D76="nd"),"nd",D76*100/D75)</f>
        <v>100</v>
      </c>
      <c r="E73" s="71">
        <f>IF(OR(E75="nd",E76="nd"),"nd",E76*100/E75)</f>
        <v>70</v>
      </c>
      <c r="F73" s="71">
        <f>IF(OR(F75="nd",F76="nd"),"nd",F76*100/F75)</f>
        <v>70</v>
      </c>
      <c r="G73" s="71">
        <f>IF(OR(G75="nd",G76="nd"),"nd",G76*100/G75)</f>
        <v>83.040935672514621</v>
      </c>
      <c r="H73" s="71">
        <f>IF(OR(H75="nd",H76="nd"),"nd",H76*100/H75)</f>
        <v>85</v>
      </c>
    </row>
    <row r="74" spans="1:9">
      <c r="A74" s="59"/>
      <c r="B74" s="61" t="s">
        <v>378</v>
      </c>
      <c r="C74" s="61" t="s">
        <v>258</v>
      </c>
      <c r="D74" s="271" t="str">
        <f>'General Info'!D4</f>
        <v>FY 2008-2009</v>
      </c>
      <c r="E74" s="271" t="str">
        <f>'General Info'!E4</f>
        <v>FY 2009-2010</v>
      </c>
      <c r="F74" s="271" t="str">
        <f>'General Info'!F4</f>
        <v>FY 2010-2011</v>
      </c>
      <c r="G74" s="271" t="str">
        <f>'General Info'!G4</f>
        <v>FY 2011-2012</v>
      </c>
      <c r="H74" s="271" t="str">
        <f>'General Info'!H4</f>
        <v>FY 2012-2013</v>
      </c>
    </row>
    <row r="75" spans="1:9" ht="15.75" thickBot="1">
      <c r="A75" s="25">
        <v>52</v>
      </c>
      <c r="B75" s="73" t="s">
        <v>379</v>
      </c>
      <c r="C75" s="30" t="s">
        <v>271</v>
      </c>
      <c r="D75" s="31">
        <v>288</v>
      </c>
      <c r="E75" s="31">
        <v>120</v>
      </c>
      <c r="F75" s="31">
        <v>90</v>
      </c>
      <c r="G75" s="31">
        <v>342</v>
      </c>
      <c r="H75" s="31">
        <v>380</v>
      </c>
    </row>
    <row r="76" spans="1:9" ht="15.75" thickBot="1">
      <c r="A76" s="25">
        <v>53</v>
      </c>
      <c r="B76" s="73" t="s">
        <v>380</v>
      </c>
      <c r="C76" s="30" t="s">
        <v>271</v>
      </c>
      <c r="D76" s="31">
        <v>288</v>
      </c>
      <c r="E76" s="31">
        <v>84</v>
      </c>
      <c r="F76" s="31">
        <v>63</v>
      </c>
      <c r="G76" s="31">
        <v>284</v>
      </c>
      <c r="H76" s="31">
        <v>323</v>
      </c>
    </row>
    <row r="77" spans="1:9">
      <c r="A77" s="838"/>
      <c r="B77" s="838"/>
      <c r="C77" s="838"/>
      <c r="D77" s="838"/>
      <c r="E77" s="838"/>
      <c r="F77" s="70"/>
      <c r="G77" s="70"/>
      <c r="H77" s="70"/>
    </row>
    <row r="78" spans="1:9">
      <c r="A78" s="67"/>
      <c r="B78" s="71" t="s">
        <v>381</v>
      </c>
      <c r="C78" s="71"/>
      <c r="D78" s="71">
        <f>IF(OR(D99="nd",D98="nd"),"nd",D99*100/D98)</f>
        <v>100</v>
      </c>
      <c r="E78" s="71">
        <f>IF(OR(E99="nd",E98="nd"),"nd",E99*100/E98)</f>
        <v>100</v>
      </c>
      <c r="F78" s="71">
        <f>IF(OR(F99="nd",F98="nd"),"nd",F99*100/F98)</f>
        <v>100</v>
      </c>
      <c r="G78" s="71">
        <f>IF(OR(G99="nd",G98="nd"),"nd",G99*100/G98)</f>
        <v>98.366111951588508</v>
      </c>
      <c r="H78" s="71">
        <f>IF(OR(H99="nd",H98="nd"),"nd",H99*100/H98)</f>
        <v>84.527495995728771</v>
      </c>
    </row>
    <row r="79" spans="1:9">
      <c r="A79" s="54"/>
      <c r="B79" s="61" t="s">
        <v>382</v>
      </c>
      <c r="C79" s="61" t="s">
        <v>258</v>
      </c>
      <c r="D79" s="271" t="str">
        <f>'General Info'!D4</f>
        <v>FY 2008-2009</v>
      </c>
      <c r="E79" s="271" t="str">
        <f>'General Info'!E4</f>
        <v>FY 2009-2010</v>
      </c>
      <c r="F79" s="271" t="str">
        <f>'General Info'!F4</f>
        <v>FY 2010-2011</v>
      </c>
      <c r="G79" s="271" t="str">
        <f>'General Info'!G4</f>
        <v>FY 2011-2012</v>
      </c>
      <c r="H79" s="271" t="str">
        <f>'General Info'!H4</f>
        <v>FY 2012-2013</v>
      </c>
    </row>
    <row r="80" spans="1:9" ht="27" thickBot="1">
      <c r="A80" s="25">
        <v>54</v>
      </c>
      <c r="B80" s="74" t="s">
        <v>383</v>
      </c>
      <c r="C80" s="30" t="s">
        <v>271</v>
      </c>
      <c r="D80" s="31">
        <v>0</v>
      </c>
      <c r="E80" s="31">
        <v>0</v>
      </c>
      <c r="F80" s="31">
        <v>0</v>
      </c>
      <c r="G80" s="31">
        <v>0</v>
      </c>
      <c r="H80" s="31">
        <v>0</v>
      </c>
    </row>
    <row r="81" spans="1:8" ht="15.75" thickBot="1">
      <c r="A81" s="25">
        <v>55</v>
      </c>
      <c r="B81" s="74" t="s">
        <v>384</v>
      </c>
      <c r="C81" s="30" t="s">
        <v>271</v>
      </c>
      <c r="D81" s="31">
        <v>156</v>
      </c>
      <c r="E81" s="31">
        <v>0</v>
      </c>
      <c r="F81" s="31">
        <v>0</v>
      </c>
      <c r="G81" s="31">
        <v>1890</v>
      </c>
      <c r="H81" s="31">
        <v>9360</v>
      </c>
    </row>
    <row r="82" spans="1:8" ht="15.75" thickBot="1">
      <c r="A82" s="25">
        <v>56</v>
      </c>
      <c r="B82" s="74" t="s">
        <v>385</v>
      </c>
      <c r="C82" s="30" t="s">
        <v>271</v>
      </c>
      <c r="D82" s="31">
        <v>0</v>
      </c>
      <c r="E82" s="31">
        <v>2064</v>
      </c>
      <c r="F82" s="31">
        <v>1548</v>
      </c>
      <c r="G82" s="31">
        <v>1350</v>
      </c>
      <c r="H82" s="31">
        <v>9360</v>
      </c>
    </row>
    <row r="83" spans="1:8" ht="27" thickBot="1">
      <c r="A83" s="25">
        <v>57</v>
      </c>
      <c r="B83" s="74" t="s">
        <v>386</v>
      </c>
      <c r="C83" s="30" t="s">
        <v>271</v>
      </c>
      <c r="D83" s="75"/>
      <c r="E83" s="31">
        <v>0</v>
      </c>
      <c r="F83" s="31">
        <v>0</v>
      </c>
      <c r="G83" s="31">
        <v>0</v>
      </c>
      <c r="H83" s="31">
        <v>4680</v>
      </c>
    </row>
    <row r="84" spans="1:8" ht="15.75" thickBot="1">
      <c r="A84" s="25">
        <v>58</v>
      </c>
      <c r="B84" s="267" t="s">
        <v>387</v>
      </c>
      <c r="C84" s="268" t="s">
        <v>271</v>
      </c>
      <c r="D84" s="269">
        <f>IF(SUM(D80:D82)&gt;0,SUM(D80:D82),D83)</f>
        <v>156</v>
      </c>
      <c r="E84" s="269">
        <f>IF(OR(E80="nd",E81="nd",E82="nd",E83="nd"),"nd",IF(SUM(E80:E82)&gt;0,SUM(E80:E82),E83))</f>
        <v>2064</v>
      </c>
      <c r="F84" s="269">
        <f>IF(OR(F80="nd",F81="nd",F82="nd",F83="nd"),"nd",IF(SUM(F80:F82)&gt;0,SUM(F80:F82),F83))</f>
        <v>1548</v>
      </c>
      <c r="G84" s="269">
        <f>IF(OR(G80="nd",G81="nd",G82="nd",G83="nd"),"nd",IF(SUM(G80:G82)&gt;0,SUM(G80:G82),G83))</f>
        <v>3240</v>
      </c>
      <c r="H84" s="269">
        <f>IF(OR(H80="nd",H81="nd",H82="nd",H83="nd"),"nd",IF(SUM(H80:H82)&gt;0,SUM(H80:H82),H83))</f>
        <v>18720</v>
      </c>
    </row>
    <row r="85" spans="1:8" ht="15.75" thickBot="1">
      <c r="A85" s="25">
        <v>59</v>
      </c>
      <c r="B85" s="55" t="s">
        <v>388</v>
      </c>
      <c r="C85" s="30" t="s">
        <v>271</v>
      </c>
      <c r="D85" s="31">
        <v>156</v>
      </c>
      <c r="E85" s="31">
        <v>2064</v>
      </c>
      <c r="F85" s="31">
        <v>1548</v>
      </c>
      <c r="G85" s="31">
        <v>3186</v>
      </c>
      <c r="H85" s="31">
        <v>15825</v>
      </c>
    </row>
    <row r="86" spans="1:8" ht="15.75" thickBot="1">
      <c r="A86" s="25">
        <v>60</v>
      </c>
      <c r="B86" s="55" t="s">
        <v>389</v>
      </c>
      <c r="C86" s="30" t="s">
        <v>271</v>
      </c>
      <c r="D86" s="31">
        <v>0</v>
      </c>
      <c r="E86" s="31">
        <v>0</v>
      </c>
      <c r="F86" s="31">
        <v>0</v>
      </c>
      <c r="G86" s="31">
        <v>0</v>
      </c>
      <c r="H86" s="31">
        <v>0</v>
      </c>
    </row>
    <row r="87" spans="1:8" ht="15.75" thickBot="1">
      <c r="A87" s="25">
        <v>61</v>
      </c>
      <c r="B87" s="55" t="s">
        <v>390</v>
      </c>
      <c r="C87" s="30" t="s">
        <v>271</v>
      </c>
      <c r="D87" s="31">
        <v>12</v>
      </c>
      <c r="E87" s="31">
        <v>0</v>
      </c>
      <c r="F87" s="31">
        <v>0</v>
      </c>
      <c r="G87" s="31">
        <v>0</v>
      </c>
      <c r="H87" s="31">
        <v>0</v>
      </c>
    </row>
    <row r="88" spans="1:8" ht="15.75" thickBot="1">
      <c r="A88" s="25">
        <v>62</v>
      </c>
      <c r="B88" s="55" t="s">
        <v>391</v>
      </c>
      <c r="C88" s="30" t="s">
        <v>271</v>
      </c>
      <c r="D88" s="31">
        <v>0</v>
      </c>
      <c r="E88" s="31">
        <v>0</v>
      </c>
      <c r="F88" s="31">
        <v>0</v>
      </c>
      <c r="G88" s="31">
        <v>0</v>
      </c>
      <c r="H88" s="31">
        <v>0</v>
      </c>
    </row>
    <row r="89" spans="1:8" ht="27" thickBot="1">
      <c r="A89" s="25">
        <v>63</v>
      </c>
      <c r="B89" s="74" t="s">
        <v>392</v>
      </c>
      <c r="C89" s="30" t="s">
        <v>271</v>
      </c>
      <c r="D89" s="75"/>
      <c r="E89" s="31">
        <v>0</v>
      </c>
      <c r="F89" s="31">
        <v>0</v>
      </c>
      <c r="G89" s="31">
        <v>0</v>
      </c>
      <c r="H89" s="31">
        <v>0</v>
      </c>
    </row>
    <row r="90" spans="1:8" ht="15.75" thickBot="1">
      <c r="A90" s="25">
        <v>64</v>
      </c>
      <c r="B90" s="267" t="s">
        <v>393</v>
      </c>
      <c r="C90" s="268" t="s">
        <v>271</v>
      </c>
      <c r="D90" s="269">
        <f>IF(SUM(D86:D88)&gt;0,SUM(D86:D88),D89)</f>
        <v>12</v>
      </c>
      <c r="E90" s="269">
        <f>IF(OR(E86="nd",E87="nd",E88="nd",E89="nd"),"nd",IF(SUM(E86:E88)&gt;0,SUM(E86:E88),E89))</f>
        <v>0</v>
      </c>
      <c r="F90" s="269">
        <f>IF(OR(F86="nd",F87="nd",F88="nd",F89="nd"),"nd",IF(SUM(F86:F88)&gt;0,SUM(F86:F88),F89))</f>
        <v>0</v>
      </c>
      <c r="G90" s="269">
        <f>IF(OR(G86="nd",G87="nd",G88="nd",G89="nd"),"nd",IF(SUM(G86:G88)&gt;0,SUM(G86:G88),G89))</f>
        <v>0</v>
      </c>
      <c r="H90" s="269">
        <f>IF(OR(H86="nd",H87="nd",H88="nd",H89="nd"),"nd",IF(SUM(H86:H88)&gt;0,SUM(H86:H88),H89))</f>
        <v>0</v>
      </c>
    </row>
    <row r="91" spans="1:8" ht="15.75" thickBot="1">
      <c r="A91" s="25">
        <v>65</v>
      </c>
      <c r="B91" s="55" t="s">
        <v>388</v>
      </c>
      <c r="C91" s="30" t="s">
        <v>271</v>
      </c>
      <c r="D91" s="31">
        <v>12</v>
      </c>
      <c r="E91" s="31">
        <v>0</v>
      </c>
      <c r="F91" s="31">
        <v>0</v>
      </c>
      <c r="G91" s="31">
        <v>0</v>
      </c>
      <c r="H91" s="31">
        <v>0</v>
      </c>
    </row>
    <row r="92" spans="1:8" ht="27" thickBot="1">
      <c r="A92" s="25">
        <v>66</v>
      </c>
      <c r="B92" s="74" t="s">
        <v>394</v>
      </c>
      <c r="C92" s="30" t="s">
        <v>271</v>
      </c>
      <c r="D92" s="31">
        <v>0</v>
      </c>
      <c r="E92" s="31">
        <v>0</v>
      </c>
      <c r="F92" s="31">
        <v>0</v>
      </c>
      <c r="G92" s="31">
        <v>0</v>
      </c>
      <c r="H92" s="31">
        <v>0</v>
      </c>
    </row>
    <row r="93" spans="1:8" ht="15.75" thickBot="1">
      <c r="A93" s="25">
        <v>67</v>
      </c>
      <c r="B93" s="74" t="s">
        <v>395</v>
      </c>
      <c r="C93" s="30" t="s">
        <v>271</v>
      </c>
      <c r="D93" s="31">
        <v>12</v>
      </c>
      <c r="E93" s="31">
        <v>0</v>
      </c>
      <c r="F93" s="31">
        <v>0</v>
      </c>
      <c r="G93" s="31">
        <v>0</v>
      </c>
      <c r="H93" s="31">
        <v>0</v>
      </c>
    </row>
    <row r="94" spans="1:8" ht="15.75" thickBot="1">
      <c r="A94" s="25">
        <v>68</v>
      </c>
      <c r="B94" s="74" t="s">
        <v>396</v>
      </c>
      <c r="C94" s="30" t="s">
        <v>271</v>
      </c>
      <c r="D94" s="31">
        <v>0</v>
      </c>
      <c r="E94" s="31">
        <v>0</v>
      </c>
      <c r="F94" s="31">
        <v>0</v>
      </c>
      <c r="G94" s="31">
        <v>65</v>
      </c>
      <c r="H94" s="31">
        <v>10</v>
      </c>
    </row>
    <row r="95" spans="1:8" ht="27" thickBot="1">
      <c r="A95" s="25">
        <v>69</v>
      </c>
      <c r="B95" s="74" t="s">
        <v>397</v>
      </c>
      <c r="C95" s="30" t="s">
        <v>271</v>
      </c>
      <c r="D95" s="75"/>
      <c r="E95" s="31">
        <v>30</v>
      </c>
      <c r="F95" s="31">
        <v>21</v>
      </c>
      <c r="G95" s="31">
        <v>0</v>
      </c>
      <c r="H95" s="31">
        <v>0</v>
      </c>
    </row>
    <row r="96" spans="1:8" ht="15.75" thickBot="1">
      <c r="A96" s="25">
        <v>70</v>
      </c>
      <c r="B96" s="267" t="s">
        <v>398</v>
      </c>
      <c r="C96" s="268" t="s">
        <v>271</v>
      </c>
      <c r="D96" s="269">
        <f>IF(SUM(D92:D94)&gt;0,SUM(D92:D94),D95)</f>
        <v>12</v>
      </c>
      <c r="E96" s="269">
        <f>IF(OR(E92="nd",E93="nd",E94="nd",E95="nd"),"nd",IF(SUM(E92:E94)&gt;0,SUM(E92:E94),E95))</f>
        <v>30</v>
      </c>
      <c r="F96" s="269">
        <f>IF(OR(F92="nd",F93="nd",F94="nd",F95="nd"),"nd",IF(SUM(F92:F94)&gt;0,SUM(F92:F94),F95))</f>
        <v>21</v>
      </c>
      <c r="G96" s="269">
        <f>IF(OR(G92="nd",G93="nd",G94="nd",G95="nd"),"nd",IF(SUM(G92:G94)&gt;0,SUM(G92:G94),G95))</f>
        <v>65</v>
      </c>
      <c r="H96" s="269">
        <f>IF(OR(H92="nd",H93="nd",H94="nd",H95="nd"),"nd",IF(SUM(H92:H94)&gt;0,SUM(H92:H94),H95))</f>
        <v>10</v>
      </c>
    </row>
    <row r="97" spans="1:9" ht="15.75" thickBot="1">
      <c r="A97" s="25">
        <v>71</v>
      </c>
      <c r="B97" s="55" t="s">
        <v>388</v>
      </c>
      <c r="C97" s="30" t="s">
        <v>271</v>
      </c>
      <c r="D97" s="31">
        <v>12</v>
      </c>
      <c r="E97" s="31">
        <v>30</v>
      </c>
      <c r="F97" s="31">
        <v>21</v>
      </c>
      <c r="G97" s="31">
        <v>65</v>
      </c>
      <c r="H97" s="31">
        <v>7</v>
      </c>
    </row>
    <row r="98" spans="1:9" ht="15.75" thickBot="1">
      <c r="A98" s="25">
        <v>72</v>
      </c>
      <c r="B98" s="267" t="s">
        <v>399</v>
      </c>
      <c r="C98" s="268" t="s">
        <v>271</v>
      </c>
      <c r="D98" s="269">
        <f>D84+D90+D96</f>
        <v>180</v>
      </c>
      <c r="E98" s="269">
        <f t="shared" ref="E98:H99" si="3">IF(OR(E84="nd",E90="nd",E96="nd"),"nd",SUM(E84,E90,E96))</f>
        <v>2094</v>
      </c>
      <c r="F98" s="269">
        <f t="shared" si="3"/>
        <v>1569</v>
      </c>
      <c r="G98" s="269">
        <f t="shared" si="3"/>
        <v>3305</v>
      </c>
      <c r="H98" s="269">
        <f t="shared" si="3"/>
        <v>18730</v>
      </c>
    </row>
    <row r="99" spans="1:9" ht="15.75" thickBot="1">
      <c r="A99" s="25">
        <v>73</v>
      </c>
      <c r="B99" s="267" t="s">
        <v>400</v>
      </c>
      <c r="C99" s="268" t="s">
        <v>271</v>
      </c>
      <c r="D99" s="269">
        <f>D85+D91+D97</f>
        <v>180</v>
      </c>
      <c r="E99" s="269">
        <f t="shared" si="3"/>
        <v>2094</v>
      </c>
      <c r="F99" s="269">
        <f t="shared" si="3"/>
        <v>1569</v>
      </c>
      <c r="G99" s="269">
        <f t="shared" si="3"/>
        <v>3251</v>
      </c>
      <c r="H99" s="269">
        <f t="shared" si="3"/>
        <v>15832</v>
      </c>
    </row>
    <row r="100" spans="1:9">
      <c r="A100" s="838"/>
      <c r="B100" s="838"/>
      <c r="C100" s="838"/>
      <c r="D100" s="838"/>
      <c r="E100" s="838"/>
      <c r="F100" s="70"/>
      <c r="G100" s="70"/>
      <c r="H100" s="70"/>
    </row>
    <row r="101" spans="1:9">
      <c r="A101" s="67"/>
      <c r="B101" s="67" t="s">
        <v>401</v>
      </c>
      <c r="C101" s="76" t="s">
        <v>268</v>
      </c>
      <c r="D101" s="71">
        <f>IF(OR(D116="nd",D110="nd"),"nd",D116*100/D110)</f>
        <v>25.62867215041128</v>
      </c>
      <c r="E101" s="71">
        <f>IF(OR(E116="nd",E110="nd"),"nd",E116*100/E110)</f>
        <v>35.062073789123971</v>
      </c>
      <c r="F101" s="71">
        <f>IF(OR(F116="nd",F110="nd"),"nd",F116*100/F110)</f>
        <v>54.437505499340077</v>
      </c>
      <c r="G101" s="71">
        <f>IF(OR(G116="nd",G110="nd"),"nd",G116*100/G110)</f>
        <v>40.239950621094046</v>
      </c>
      <c r="H101" s="71">
        <f>IF(OR(H116="nd",H110="nd"),"nd",H116*100/H110)</f>
        <v>40.239950621094046</v>
      </c>
    </row>
    <row r="102" spans="1:9" ht="18" thickBot="1">
      <c r="A102" s="59"/>
      <c r="B102" s="60" t="s">
        <v>402</v>
      </c>
      <c r="C102" s="61" t="s">
        <v>258</v>
      </c>
      <c r="D102" s="271" t="str">
        <f>'General Info'!D4</f>
        <v>FY 2008-2009</v>
      </c>
      <c r="E102" s="271" t="str">
        <f>'General Info'!E4</f>
        <v>FY 2009-2010</v>
      </c>
      <c r="F102" s="271" t="str">
        <f>'General Info'!F4</f>
        <v>FY 2010-2011</v>
      </c>
      <c r="G102" s="271" t="str">
        <f>'General Info'!G4</f>
        <v>FY 2011-2012</v>
      </c>
      <c r="H102" s="271" t="str">
        <f>'General Info'!H4</f>
        <v>FY 2012-2013</v>
      </c>
    </row>
    <row r="103" spans="1:9" ht="15.75" thickBot="1">
      <c r="A103" s="25">
        <v>73</v>
      </c>
      <c r="B103" s="55" t="s">
        <v>403</v>
      </c>
      <c r="C103" s="30" t="s">
        <v>404</v>
      </c>
      <c r="D103" s="33">
        <v>7.22</v>
      </c>
      <c r="E103" s="33">
        <v>2.36</v>
      </c>
      <c r="F103" s="33">
        <v>0</v>
      </c>
      <c r="G103" s="33">
        <v>1.62</v>
      </c>
      <c r="H103" s="33">
        <v>1.62</v>
      </c>
    </row>
    <row r="104" spans="1:9" ht="15.75" thickBot="1">
      <c r="A104" s="25">
        <v>74</v>
      </c>
      <c r="B104" s="55" t="s">
        <v>405</v>
      </c>
      <c r="C104" s="30" t="s">
        <v>404</v>
      </c>
      <c r="D104" s="56"/>
      <c r="E104" s="33">
        <v>2.77</v>
      </c>
      <c r="F104" s="33">
        <v>0</v>
      </c>
      <c r="G104" s="33">
        <v>13.3</v>
      </c>
      <c r="H104" s="33">
        <v>13.3</v>
      </c>
      <c r="I104" s="273">
        <f>(H103+H104)/H110</f>
        <v>5.7557287246354449E-2</v>
      </c>
    </row>
    <row r="105" spans="1:9" ht="15.75" thickBot="1">
      <c r="A105" s="25">
        <v>75</v>
      </c>
      <c r="B105" s="55" t="s">
        <v>20</v>
      </c>
      <c r="C105" s="30" t="s">
        <v>404</v>
      </c>
      <c r="D105" s="33">
        <v>89.15</v>
      </c>
      <c r="E105" s="33">
        <v>166.72</v>
      </c>
      <c r="F105" s="33">
        <v>0</v>
      </c>
      <c r="G105" s="33">
        <v>65.459999999999994</v>
      </c>
      <c r="H105" s="33">
        <v>65.459999999999994</v>
      </c>
    </row>
    <row r="106" spans="1:9" ht="15.75" thickBot="1">
      <c r="A106" s="25">
        <v>76</v>
      </c>
      <c r="B106" s="55" t="s">
        <v>21</v>
      </c>
      <c r="C106" s="30" t="s">
        <v>404</v>
      </c>
      <c r="D106" s="56"/>
      <c r="E106" s="33">
        <v>5.04</v>
      </c>
      <c r="F106" s="33">
        <v>0</v>
      </c>
      <c r="G106" s="33">
        <v>3.08</v>
      </c>
      <c r="H106" s="33">
        <v>3.08</v>
      </c>
      <c r="I106" s="273">
        <f>H106/H39</f>
        <v>0.20824881676808657</v>
      </c>
    </row>
    <row r="107" spans="1:9" ht="15.75" thickBot="1">
      <c r="A107" s="25">
        <v>77</v>
      </c>
      <c r="B107" s="55" t="s">
        <v>23</v>
      </c>
      <c r="C107" s="30" t="s">
        <v>404</v>
      </c>
      <c r="D107" s="33">
        <v>16.62</v>
      </c>
      <c r="E107" s="33">
        <v>23.13</v>
      </c>
      <c r="F107" s="33">
        <v>0</v>
      </c>
      <c r="G107" s="33">
        <v>22.59</v>
      </c>
      <c r="H107" s="33">
        <v>22.59</v>
      </c>
      <c r="I107" s="273">
        <f>H107/H39</f>
        <v>1.5273833671399595</v>
      </c>
    </row>
    <row r="108" spans="1:9" ht="15.75" thickBot="1">
      <c r="A108" s="25">
        <v>78</v>
      </c>
      <c r="B108" s="55" t="s">
        <v>22</v>
      </c>
      <c r="C108" s="30" t="s">
        <v>404</v>
      </c>
      <c r="D108" s="33">
        <v>0</v>
      </c>
      <c r="E108" s="33">
        <v>85.3</v>
      </c>
      <c r="F108" s="33">
        <v>0</v>
      </c>
      <c r="G108" s="33">
        <v>151.69999999999999</v>
      </c>
      <c r="H108" s="33">
        <v>151.69999999999999</v>
      </c>
    </row>
    <row r="109" spans="1:9" ht="15.75" thickBot="1">
      <c r="A109" s="25">
        <v>79</v>
      </c>
      <c r="B109" s="55" t="s">
        <v>24</v>
      </c>
      <c r="C109" s="30" t="s">
        <v>404</v>
      </c>
      <c r="D109" s="33">
        <v>57.21</v>
      </c>
      <c r="E109" s="33">
        <v>0.63</v>
      </c>
      <c r="F109" s="33">
        <v>181.84</v>
      </c>
      <c r="G109" s="33">
        <v>1.47</v>
      </c>
      <c r="H109" s="33">
        <v>1.47</v>
      </c>
      <c r="I109" s="273">
        <f>H109/H110</f>
        <v>5.6708587300362623E-3</v>
      </c>
    </row>
    <row r="110" spans="1:9" ht="15.75" thickBot="1">
      <c r="A110" s="25">
        <v>80</v>
      </c>
      <c r="B110" s="77" t="s">
        <v>25</v>
      </c>
      <c r="C110" s="30" t="s">
        <v>404</v>
      </c>
      <c r="D110" s="78">
        <f>IF(OR(D103="nd",D104="nd",D105="nd",D106="nd",D107="nd",D108="nd",D109="nd"),"nd",SUM(D103:D109))</f>
        <v>170.20000000000002</v>
      </c>
      <c r="E110" s="78">
        <f>IF(OR(E103="nd",E104="nd",E105="nd",E106="nd",E107="nd",E108="nd",E109="nd"),"nd",SUM(E103:E109))</f>
        <v>285.95</v>
      </c>
      <c r="F110" s="78">
        <f>IF(OR(F103="nd",F104="nd",F105="nd",F106="nd",F107="nd",F108="nd",F109="nd"),"nd",SUM(F103:F109))</f>
        <v>181.84</v>
      </c>
      <c r="G110" s="78">
        <f>IF(OR(G103="nd",G104="nd",G105="nd",G106="nd",G107="nd",G108="nd",G109="nd"),"nd",SUM(G103:G109))</f>
        <v>259.22000000000003</v>
      </c>
      <c r="H110" s="78">
        <f>IF(OR(H103="nd",H104="nd",H105="nd",H106="nd",H107="nd",H108="nd",H109="nd"),"nd",SUM(H103:H109))</f>
        <v>259.22000000000003</v>
      </c>
    </row>
    <row r="111" spans="1:9">
      <c r="A111" s="25"/>
      <c r="B111" s="79" t="s">
        <v>406</v>
      </c>
      <c r="C111" s="61" t="s">
        <v>258</v>
      </c>
      <c r="D111" s="271" t="str">
        <f>'General Info'!D4</f>
        <v>FY 2008-2009</v>
      </c>
      <c r="E111" s="271" t="str">
        <f>'General Info'!E4</f>
        <v>FY 2009-2010</v>
      </c>
      <c r="F111" s="271" t="str">
        <f>'General Info'!F4</f>
        <v>FY 2010-2011</v>
      </c>
      <c r="G111" s="271" t="str">
        <f>'General Info'!G4</f>
        <v>FY 2011-2012</v>
      </c>
      <c r="H111" s="271" t="str">
        <f>'General Info'!H4</f>
        <v>FY 2012-2013</v>
      </c>
    </row>
    <row r="112" spans="1:9" ht="15.75" thickBot="1">
      <c r="A112" s="25">
        <v>81</v>
      </c>
      <c r="B112" s="55" t="s">
        <v>407</v>
      </c>
      <c r="C112" s="30" t="s">
        <v>404</v>
      </c>
      <c r="D112" s="33">
        <v>57.11</v>
      </c>
      <c r="E112" s="33">
        <v>47.69</v>
      </c>
      <c r="F112" s="33">
        <v>72.81</v>
      </c>
      <c r="G112" s="33">
        <v>82.11</v>
      </c>
      <c r="H112" s="33">
        <v>82.11</v>
      </c>
    </row>
    <row r="113" spans="1:9" ht="15.75" thickBot="1">
      <c r="A113" s="25">
        <v>82</v>
      </c>
      <c r="B113" s="55" t="s">
        <v>408</v>
      </c>
      <c r="C113" s="30" t="s">
        <v>404</v>
      </c>
      <c r="D113" s="33">
        <v>0</v>
      </c>
      <c r="E113" s="33">
        <v>100.26</v>
      </c>
      <c r="F113" s="33">
        <v>98.989159999999998</v>
      </c>
      <c r="G113" s="33">
        <v>104.31</v>
      </c>
      <c r="H113" s="33">
        <v>104.31</v>
      </c>
    </row>
    <row r="114" spans="1:9" ht="15.75" thickBot="1">
      <c r="A114" s="25">
        <v>83</v>
      </c>
      <c r="B114" s="55" t="s">
        <v>409</v>
      </c>
      <c r="C114" s="30" t="s">
        <v>404</v>
      </c>
      <c r="D114" s="33">
        <v>43.62</v>
      </c>
      <c r="E114" s="33">
        <v>0</v>
      </c>
      <c r="F114" s="33">
        <v>0</v>
      </c>
      <c r="G114" s="33">
        <v>0</v>
      </c>
      <c r="H114" s="33">
        <v>0</v>
      </c>
    </row>
    <row r="115" spans="1:9" ht="15.75" thickBot="1">
      <c r="A115" s="25">
        <v>84</v>
      </c>
      <c r="B115" s="55" t="s">
        <v>410</v>
      </c>
      <c r="C115" s="30" t="s">
        <v>404</v>
      </c>
      <c r="D115" s="33">
        <v>0</v>
      </c>
      <c r="E115" s="33">
        <v>0</v>
      </c>
      <c r="F115" s="33">
        <v>0</v>
      </c>
      <c r="G115" s="33">
        <v>0</v>
      </c>
      <c r="H115" s="33">
        <v>0</v>
      </c>
    </row>
    <row r="116" spans="1:9" ht="15.75" thickBot="1">
      <c r="A116" s="25">
        <v>85</v>
      </c>
      <c r="B116" s="267" t="s">
        <v>26</v>
      </c>
      <c r="C116" s="268" t="s">
        <v>404</v>
      </c>
      <c r="D116" s="269">
        <f>IF(OR(D113="nd",D114="nd",D115="nd"),"nd",SUM(D113:D115))</f>
        <v>43.62</v>
      </c>
      <c r="E116" s="269">
        <f>IF(OR(E113="nd",E114="nd",E115="nd"),"nd",SUM(E113:E115))</f>
        <v>100.26</v>
      </c>
      <c r="F116" s="269">
        <f>IF(OR(F113="nd",F114="nd",F115="nd"),"nd",SUM(F113:F115))</f>
        <v>98.989159999999998</v>
      </c>
      <c r="G116" s="269">
        <f>IF(OR(G113="nd",G114="nd",G115="nd"),"nd",SUM(G113:G115))</f>
        <v>104.31</v>
      </c>
      <c r="H116" s="269">
        <f>IF(OR(H113="nd",H114="nd",H115="nd"),"nd",SUM(H113:H115))</f>
        <v>104.31</v>
      </c>
      <c r="I116" s="273">
        <f>H116/H66</f>
        <v>6.1561614730878192E-3</v>
      </c>
    </row>
    <row r="118" spans="1:9">
      <c r="A118" s="67"/>
      <c r="B118" s="67" t="s">
        <v>411</v>
      </c>
      <c r="C118" s="67" t="s">
        <v>268</v>
      </c>
      <c r="D118" s="270">
        <f>IF(OR(D122="nd",D120="nd"),"nd",D122*100/D120)</f>
        <v>44.750114626318208</v>
      </c>
      <c r="E118" s="270">
        <f>IF(OR(E122="nd",E120="nd"),"nd",E122*100/E120)</f>
        <v>54.498304408537798</v>
      </c>
      <c r="F118" s="270">
        <f>IF(OR(F122="nd",F120="nd"),"nd",F122*100/F120)</f>
        <v>63.431187818949063</v>
      </c>
      <c r="G118" s="270">
        <f>IF(OR(G122="nd",G120="nd"),"nd",G122*100/G120)</f>
        <v>70.204199022145531</v>
      </c>
      <c r="H118" s="270">
        <f>IF(OR(H122="nd",H120="nd"),"nd",H122*100/H120)</f>
        <v>70.204199022145531</v>
      </c>
    </row>
    <row r="119" spans="1:9">
      <c r="A119" s="59"/>
      <c r="B119" s="79"/>
      <c r="C119" s="61" t="s">
        <v>258</v>
      </c>
      <c r="D119" s="271" t="str">
        <f>'General Info'!D4</f>
        <v>FY 2008-2009</v>
      </c>
      <c r="E119" s="271" t="str">
        <f>'General Info'!E4</f>
        <v>FY 2009-2010</v>
      </c>
      <c r="F119" s="271" t="str">
        <f>'General Info'!F4</f>
        <v>FY 2010-2011</v>
      </c>
      <c r="G119" s="271" t="str">
        <f>'General Info'!G4</f>
        <v>FY 2011-2012</v>
      </c>
      <c r="H119" s="271" t="str">
        <f>'General Info'!H4</f>
        <v>FY 2012-2013</v>
      </c>
    </row>
    <row r="120" spans="1:9" ht="15.75" thickBot="1">
      <c r="A120" s="25">
        <v>86</v>
      </c>
      <c r="B120" s="267" t="s">
        <v>412</v>
      </c>
      <c r="C120" s="268" t="s">
        <v>404</v>
      </c>
      <c r="D120" s="269">
        <f>D116</f>
        <v>43.62</v>
      </c>
      <c r="E120" s="269">
        <f>E116</f>
        <v>100.26</v>
      </c>
      <c r="F120" s="269">
        <f>F116</f>
        <v>98.989159999999998</v>
      </c>
      <c r="G120" s="269">
        <f>G116</f>
        <v>104.31</v>
      </c>
      <c r="H120" s="269">
        <f>H116</f>
        <v>104.31</v>
      </c>
    </row>
    <row r="121" spans="1:9" ht="15.75" thickBot="1">
      <c r="A121" s="25">
        <v>87</v>
      </c>
      <c r="B121" s="55" t="s">
        <v>413</v>
      </c>
      <c r="C121" s="30" t="s">
        <v>404</v>
      </c>
      <c r="D121" s="33">
        <v>12.43</v>
      </c>
      <c r="E121" s="33">
        <v>20.5</v>
      </c>
      <c r="F121" s="33">
        <v>33.660429999999998</v>
      </c>
      <c r="G121" s="33">
        <v>20.5</v>
      </c>
      <c r="H121" s="33">
        <v>20.5</v>
      </c>
    </row>
    <row r="122" spans="1:9" ht="15.75" thickBot="1">
      <c r="A122" s="25">
        <v>88</v>
      </c>
      <c r="B122" s="55" t="s">
        <v>414</v>
      </c>
      <c r="C122" s="30" t="s">
        <v>404</v>
      </c>
      <c r="D122" s="33">
        <v>19.52</v>
      </c>
      <c r="E122" s="33">
        <v>54.64</v>
      </c>
      <c r="F122" s="33">
        <v>62.79</v>
      </c>
      <c r="G122" s="33">
        <v>73.23</v>
      </c>
      <c r="H122" s="33">
        <v>73.23</v>
      </c>
    </row>
    <row r="123" spans="1:9">
      <c r="A123" s="25"/>
    </row>
    <row r="124" spans="1:9">
      <c r="A124" s="839" t="s">
        <v>415</v>
      </c>
      <c r="B124" s="839"/>
      <c r="C124" s="839"/>
      <c r="D124" s="839"/>
      <c r="E124" s="839"/>
      <c r="F124" s="80"/>
      <c r="G124" s="80"/>
      <c r="H124" s="80"/>
    </row>
    <row r="125" spans="1:9" ht="21.75" thickBot="1">
      <c r="A125" s="59"/>
      <c r="B125" s="81" t="s">
        <v>416</v>
      </c>
      <c r="C125" s="61" t="s">
        <v>258</v>
      </c>
      <c r="D125" s="271" t="str">
        <f>'General Info'!D4</f>
        <v>FY 2008-2009</v>
      </c>
      <c r="E125" s="271" t="str">
        <f>'General Info'!E4</f>
        <v>FY 2009-2010</v>
      </c>
      <c r="F125" s="271" t="str">
        <f>'General Info'!F4</f>
        <v>FY 2010-2011</v>
      </c>
      <c r="G125" s="271" t="str">
        <f>'General Info'!G4</f>
        <v>FY 2011-2012</v>
      </c>
      <c r="H125" s="271" t="str">
        <f>'General Info'!H4</f>
        <v>FY 2012-2013</v>
      </c>
    </row>
    <row r="126" spans="1:9">
      <c r="A126" s="25">
        <v>89</v>
      </c>
      <c r="B126" s="82" t="s">
        <v>417</v>
      </c>
      <c r="C126" s="30" t="s">
        <v>271</v>
      </c>
      <c r="D126" s="82"/>
      <c r="E126" s="31">
        <v>0</v>
      </c>
      <c r="F126" s="31">
        <v>0</v>
      </c>
      <c r="G126" s="31">
        <v>0</v>
      </c>
      <c r="H126" s="31">
        <v>0</v>
      </c>
    </row>
    <row r="127" spans="1:9">
      <c r="A127" s="25">
        <v>90</v>
      </c>
      <c r="B127" s="82" t="s">
        <v>418</v>
      </c>
      <c r="C127" s="30" t="s">
        <v>271</v>
      </c>
      <c r="D127" s="82"/>
      <c r="E127" s="31">
        <v>0</v>
      </c>
      <c r="F127" s="31">
        <v>0</v>
      </c>
      <c r="G127" s="31">
        <v>0</v>
      </c>
      <c r="H127" s="31">
        <v>0</v>
      </c>
    </row>
    <row r="128" spans="1:9">
      <c r="A128" s="25">
        <v>91</v>
      </c>
      <c r="B128" s="82" t="s">
        <v>419</v>
      </c>
      <c r="C128" s="30" t="s">
        <v>271</v>
      </c>
      <c r="D128" s="82"/>
      <c r="E128" s="31">
        <v>1</v>
      </c>
      <c r="F128" s="31">
        <v>1</v>
      </c>
      <c r="G128" s="31">
        <v>1</v>
      </c>
      <c r="H128" s="31">
        <v>1</v>
      </c>
    </row>
    <row r="129" spans="1:8">
      <c r="A129" s="25">
        <v>92</v>
      </c>
      <c r="B129" s="82" t="s">
        <v>420</v>
      </c>
      <c r="C129" s="30" t="s">
        <v>271</v>
      </c>
      <c r="D129" s="82"/>
      <c r="E129" s="31">
        <v>1</v>
      </c>
      <c r="F129" s="31">
        <v>1</v>
      </c>
      <c r="G129" s="31">
        <v>1</v>
      </c>
      <c r="H129" s="31">
        <v>1</v>
      </c>
    </row>
    <row r="130" spans="1:8">
      <c r="A130" s="25">
        <v>93</v>
      </c>
      <c r="B130" s="82" t="s">
        <v>421</v>
      </c>
      <c r="C130" s="30" t="s">
        <v>271</v>
      </c>
      <c r="D130" s="82"/>
      <c r="E130" s="31">
        <v>1</v>
      </c>
      <c r="F130" s="31">
        <v>1</v>
      </c>
      <c r="G130" s="31">
        <v>1</v>
      </c>
      <c r="H130" s="31">
        <v>0</v>
      </c>
    </row>
    <row r="131" spans="1:8">
      <c r="A131" s="25">
        <v>94</v>
      </c>
      <c r="B131" s="82" t="s">
        <v>422</v>
      </c>
      <c r="C131" s="30" t="s">
        <v>271</v>
      </c>
      <c r="D131" s="82"/>
      <c r="E131" s="31">
        <v>1</v>
      </c>
      <c r="F131" s="31">
        <v>1</v>
      </c>
      <c r="G131" s="31">
        <v>1</v>
      </c>
      <c r="H131" s="31">
        <v>0</v>
      </c>
    </row>
    <row r="132" spans="1:8">
      <c r="A132" s="25">
        <v>95</v>
      </c>
      <c r="B132" s="82" t="s">
        <v>423</v>
      </c>
      <c r="C132" s="30" t="s">
        <v>271</v>
      </c>
      <c r="D132" s="82"/>
      <c r="E132" s="31">
        <v>0</v>
      </c>
      <c r="F132" s="31">
        <v>0</v>
      </c>
      <c r="G132" s="31">
        <v>0</v>
      </c>
      <c r="H132" s="31">
        <v>0</v>
      </c>
    </row>
    <row r="133" spans="1:8">
      <c r="A133" s="25">
        <v>96</v>
      </c>
      <c r="B133" s="82" t="s">
        <v>424</v>
      </c>
      <c r="C133" s="30" t="s">
        <v>271</v>
      </c>
      <c r="D133" s="82"/>
      <c r="E133" s="31">
        <v>0</v>
      </c>
      <c r="F133" s="31">
        <v>0</v>
      </c>
      <c r="G133" s="31">
        <v>0</v>
      </c>
      <c r="H133" s="31">
        <v>0</v>
      </c>
    </row>
    <row r="134" spans="1:8">
      <c r="A134" s="25">
        <v>97</v>
      </c>
      <c r="B134" s="82" t="s">
        <v>425</v>
      </c>
      <c r="C134" s="30" t="s">
        <v>271</v>
      </c>
      <c r="D134" s="82"/>
      <c r="E134" s="31">
        <v>0</v>
      </c>
      <c r="F134" s="31">
        <v>0</v>
      </c>
      <c r="G134" s="31">
        <v>11</v>
      </c>
      <c r="H134" s="31">
        <v>11</v>
      </c>
    </row>
    <row r="135" spans="1:8">
      <c r="A135" s="25">
        <v>98</v>
      </c>
      <c r="B135" s="82" t="s">
        <v>426</v>
      </c>
      <c r="C135" s="30" t="s">
        <v>271</v>
      </c>
      <c r="D135" s="82"/>
      <c r="E135" s="31">
        <v>0</v>
      </c>
      <c r="F135" s="31">
        <v>0</v>
      </c>
      <c r="G135" s="31">
        <v>11</v>
      </c>
      <c r="H135" s="31">
        <v>0</v>
      </c>
    </row>
    <row r="136" spans="1:8">
      <c r="A136" s="25">
        <v>99</v>
      </c>
      <c r="B136" s="82" t="s">
        <v>427</v>
      </c>
      <c r="C136" s="30" t="s">
        <v>271</v>
      </c>
      <c r="D136" s="82"/>
      <c r="E136" s="31">
        <v>1</v>
      </c>
      <c r="F136" s="31">
        <v>1</v>
      </c>
      <c r="G136" s="31">
        <v>0</v>
      </c>
      <c r="H136" s="31">
        <v>1</v>
      </c>
    </row>
    <row r="137" spans="1:8">
      <c r="A137" s="25">
        <v>100</v>
      </c>
      <c r="B137" s="82" t="s">
        <v>428</v>
      </c>
      <c r="C137" s="30" t="s">
        <v>271</v>
      </c>
      <c r="D137" s="82"/>
      <c r="E137" s="31">
        <v>3</v>
      </c>
      <c r="F137" s="31">
        <v>3</v>
      </c>
      <c r="G137" s="31">
        <v>0</v>
      </c>
      <c r="H137" s="31">
        <v>2</v>
      </c>
    </row>
    <row r="138" spans="1:8">
      <c r="A138" s="25">
        <v>101</v>
      </c>
      <c r="B138" s="82" t="s">
        <v>429</v>
      </c>
      <c r="C138" s="30" t="s">
        <v>271</v>
      </c>
      <c r="D138" s="82"/>
      <c r="E138" s="31">
        <v>0</v>
      </c>
      <c r="F138" s="31">
        <v>0</v>
      </c>
      <c r="G138" s="31">
        <v>6</v>
      </c>
      <c r="H138" s="31">
        <v>0</v>
      </c>
    </row>
    <row r="139" spans="1:8">
      <c r="A139" s="25">
        <v>102</v>
      </c>
      <c r="B139" s="82" t="s">
        <v>430</v>
      </c>
      <c r="C139" s="30" t="s">
        <v>271</v>
      </c>
      <c r="D139" s="82"/>
      <c r="E139" s="31">
        <v>5</v>
      </c>
      <c r="F139" s="31">
        <v>5</v>
      </c>
      <c r="G139" s="31">
        <v>6</v>
      </c>
      <c r="H139" s="31">
        <v>8</v>
      </c>
    </row>
    <row r="140" spans="1:8">
      <c r="A140" s="25">
        <v>103</v>
      </c>
      <c r="B140" s="83" t="s">
        <v>431</v>
      </c>
      <c r="C140" s="30" t="s">
        <v>271</v>
      </c>
      <c r="D140" s="84">
        <f t="shared" ref="D140:H141" si="4">SUM(D138,D136,D134,D132,D130,D128,D126)</f>
        <v>0</v>
      </c>
      <c r="E140" s="84">
        <f t="shared" si="4"/>
        <v>3</v>
      </c>
      <c r="F140" s="84">
        <f t="shared" si="4"/>
        <v>3</v>
      </c>
      <c r="G140" s="84">
        <f t="shared" si="4"/>
        <v>19</v>
      </c>
      <c r="H140" s="84">
        <f t="shared" si="4"/>
        <v>13</v>
      </c>
    </row>
    <row r="141" spans="1:8">
      <c r="A141" s="25">
        <v>104</v>
      </c>
      <c r="B141" s="83" t="s">
        <v>432</v>
      </c>
      <c r="C141" s="30" t="s">
        <v>271</v>
      </c>
      <c r="D141" s="84">
        <f t="shared" si="4"/>
        <v>0</v>
      </c>
      <c r="E141" s="84">
        <f t="shared" si="4"/>
        <v>10</v>
      </c>
      <c r="F141" s="84">
        <f t="shared" si="4"/>
        <v>10</v>
      </c>
      <c r="G141" s="84">
        <f t="shared" si="4"/>
        <v>19</v>
      </c>
      <c r="H141" s="84">
        <f t="shared" si="4"/>
        <v>11</v>
      </c>
    </row>
    <row r="143" spans="1:8">
      <c r="A143" s="57"/>
      <c r="B143" s="85" t="s">
        <v>433</v>
      </c>
      <c r="C143" s="83"/>
      <c r="D143" s="83"/>
      <c r="E143" s="83"/>
      <c r="F143" s="83"/>
      <c r="G143" s="83"/>
      <c r="H143" s="83"/>
    </row>
    <row r="144" spans="1:8">
      <c r="A144" s="25">
        <v>105</v>
      </c>
      <c r="B144" s="82" t="s">
        <v>434</v>
      </c>
      <c r="C144" s="30" t="s">
        <v>435</v>
      </c>
      <c r="D144" s="82"/>
      <c r="E144" s="33">
        <v>600</v>
      </c>
      <c r="F144" s="33">
        <v>600</v>
      </c>
      <c r="G144" s="33">
        <v>600</v>
      </c>
      <c r="H144" s="33">
        <v>600</v>
      </c>
    </row>
    <row r="145" spans="1:8">
      <c r="A145" s="25">
        <v>106</v>
      </c>
      <c r="B145" s="82" t="s">
        <v>436</v>
      </c>
      <c r="C145" s="30" t="s">
        <v>435</v>
      </c>
      <c r="D145" s="82"/>
      <c r="E145" s="33">
        <v>600</v>
      </c>
      <c r="F145" s="33">
        <v>600</v>
      </c>
      <c r="G145" s="33">
        <v>600</v>
      </c>
      <c r="H145" s="33">
        <v>600</v>
      </c>
    </row>
    <row r="146" spans="1:8">
      <c r="A146" s="25">
        <v>107</v>
      </c>
      <c r="B146" s="82" t="s">
        <v>437</v>
      </c>
      <c r="C146" s="30" t="s">
        <v>435</v>
      </c>
      <c r="D146" s="82"/>
      <c r="E146" s="33">
        <v>600</v>
      </c>
      <c r="F146" s="33">
        <v>600</v>
      </c>
      <c r="G146" s="33">
        <v>600</v>
      </c>
      <c r="H146" s="33">
        <v>600</v>
      </c>
    </row>
    <row r="147" spans="1:8">
      <c r="A147" s="25">
        <v>108</v>
      </c>
      <c r="B147" s="82" t="s">
        <v>438</v>
      </c>
      <c r="C147" s="30" t="s">
        <v>435</v>
      </c>
      <c r="D147" s="82"/>
      <c r="E147" s="33">
        <v>600</v>
      </c>
      <c r="F147" s="33">
        <v>600</v>
      </c>
      <c r="G147" s="33">
        <v>600</v>
      </c>
      <c r="H147" s="33">
        <v>600</v>
      </c>
    </row>
    <row r="148" spans="1:8">
      <c r="A148" s="25">
        <v>109</v>
      </c>
      <c r="B148" s="82" t="s">
        <v>439</v>
      </c>
      <c r="C148" s="30" t="s">
        <v>435</v>
      </c>
      <c r="D148" s="82"/>
      <c r="E148" s="33">
        <v>600</v>
      </c>
      <c r="F148" s="33">
        <v>600</v>
      </c>
      <c r="G148" s="33">
        <v>600</v>
      </c>
      <c r="H148" s="33">
        <v>600</v>
      </c>
    </row>
    <row r="149" spans="1:8">
      <c r="A149" s="57"/>
      <c r="B149" s="85" t="s">
        <v>440</v>
      </c>
      <c r="C149" s="83"/>
      <c r="D149" s="83"/>
      <c r="E149" s="83"/>
      <c r="F149" s="83"/>
      <c r="G149" s="83"/>
      <c r="H149" s="83"/>
    </row>
    <row r="150" spans="1:8">
      <c r="A150" s="25">
        <v>110</v>
      </c>
      <c r="B150" s="82" t="s">
        <v>434</v>
      </c>
      <c r="C150" s="30" t="s">
        <v>441</v>
      </c>
      <c r="D150" s="82"/>
      <c r="E150" s="33">
        <v>50</v>
      </c>
      <c r="F150" s="33">
        <v>50</v>
      </c>
      <c r="G150" s="33">
        <v>50</v>
      </c>
      <c r="H150" s="33">
        <v>50</v>
      </c>
    </row>
    <row r="151" spans="1:8">
      <c r="A151" s="25">
        <v>111</v>
      </c>
      <c r="B151" s="82" t="s">
        <v>436</v>
      </c>
      <c r="C151" s="30" t="s">
        <v>441</v>
      </c>
      <c r="D151" s="82"/>
      <c r="E151" s="33">
        <v>50</v>
      </c>
      <c r="F151" s="33">
        <v>50</v>
      </c>
      <c r="G151" s="33">
        <v>50</v>
      </c>
      <c r="H151" s="33">
        <v>50</v>
      </c>
    </row>
    <row r="152" spans="1:8">
      <c r="A152" s="25">
        <v>112</v>
      </c>
      <c r="B152" s="82" t="s">
        <v>437</v>
      </c>
      <c r="C152" s="30" t="s">
        <v>441</v>
      </c>
      <c r="D152" s="82"/>
      <c r="E152" s="33">
        <v>83.33</v>
      </c>
      <c r="F152" s="33">
        <v>83.33</v>
      </c>
      <c r="G152" s="33">
        <v>83.33</v>
      </c>
      <c r="H152" s="33">
        <v>83.33</v>
      </c>
    </row>
    <row r="153" spans="1:8">
      <c r="A153" s="25">
        <v>113</v>
      </c>
      <c r="B153" s="82" t="s">
        <v>438</v>
      </c>
      <c r="C153" s="30" t="s">
        <v>441</v>
      </c>
      <c r="D153" s="82"/>
      <c r="E153" s="33">
        <v>250</v>
      </c>
      <c r="F153" s="33">
        <v>250</v>
      </c>
      <c r="G153" s="33">
        <v>250</v>
      </c>
      <c r="H153" s="33">
        <v>250</v>
      </c>
    </row>
    <row r="154" spans="1:8">
      <c r="A154" s="25">
        <v>114</v>
      </c>
      <c r="B154" s="82" t="s">
        <v>439</v>
      </c>
      <c r="C154" s="30" t="s">
        <v>441</v>
      </c>
      <c r="D154" s="82"/>
      <c r="E154" s="33">
        <v>125</v>
      </c>
      <c r="F154" s="33">
        <v>125</v>
      </c>
      <c r="G154" s="33">
        <v>125</v>
      </c>
      <c r="H154" s="33">
        <v>125</v>
      </c>
    </row>
    <row r="155" spans="1:8">
      <c r="A155" s="57"/>
      <c r="B155" s="85" t="s">
        <v>442</v>
      </c>
      <c r="C155" s="85"/>
      <c r="D155" s="85"/>
      <c r="E155" s="85"/>
      <c r="F155" s="85"/>
      <c r="G155" s="85"/>
      <c r="H155" s="85"/>
    </row>
    <row r="156" spans="1:8">
      <c r="A156" s="25">
        <v>115</v>
      </c>
      <c r="B156" s="82" t="s">
        <v>434</v>
      </c>
      <c r="C156" s="30" t="s">
        <v>443</v>
      </c>
      <c r="D156" s="82"/>
      <c r="E156" s="33" t="s">
        <v>251</v>
      </c>
      <c r="F156" s="33" t="s">
        <v>251</v>
      </c>
      <c r="G156" s="33" t="s">
        <v>251</v>
      </c>
      <c r="H156" s="33" t="s">
        <v>251</v>
      </c>
    </row>
    <row r="157" spans="1:8">
      <c r="A157" s="25">
        <v>116</v>
      </c>
      <c r="B157" s="82" t="s">
        <v>436</v>
      </c>
      <c r="C157" s="30" t="s">
        <v>443</v>
      </c>
      <c r="D157" s="82"/>
      <c r="E157" s="33" t="s">
        <v>251</v>
      </c>
      <c r="F157" s="33" t="s">
        <v>251</v>
      </c>
      <c r="G157" s="33" t="s">
        <v>251</v>
      </c>
      <c r="H157" s="33" t="s">
        <v>251</v>
      </c>
    </row>
    <row r="158" spans="1:8">
      <c r="A158" s="25">
        <v>117</v>
      </c>
      <c r="B158" s="82" t="s">
        <v>437</v>
      </c>
      <c r="C158" s="30" t="s">
        <v>443</v>
      </c>
      <c r="D158" s="82"/>
      <c r="E158" s="33" t="s">
        <v>251</v>
      </c>
      <c r="F158" s="33" t="s">
        <v>251</v>
      </c>
      <c r="G158" s="33" t="s">
        <v>251</v>
      </c>
      <c r="H158" s="33" t="s">
        <v>251</v>
      </c>
    </row>
    <row r="159" spans="1:8">
      <c r="A159" s="25">
        <v>118</v>
      </c>
      <c r="B159" s="82" t="s">
        <v>438</v>
      </c>
      <c r="C159" s="30" t="s">
        <v>443</v>
      </c>
      <c r="D159" s="82"/>
      <c r="E159" s="33" t="s">
        <v>251</v>
      </c>
      <c r="F159" s="33" t="s">
        <v>251</v>
      </c>
      <c r="G159" s="33" t="s">
        <v>251</v>
      </c>
      <c r="H159" s="33" t="s">
        <v>251</v>
      </c>
    </row>
    <row r="160" spans="1:8">
      <c r="A160" s="25">
        <v>119</v>
      </c>
      <c r="B160" s="82" t="s">
        <v>439</v>
      </c>
      <c r="C160" s="30" t="s">
        <v>443</v>
      </c>
      <c r="D160" s="82"/>
      <c r="E160" s="33" t="s">
        <v>251</v>
      </c>
      <c r="F160" s="33" t="s">
        <v>251</v>
      </c>
      <c r="G160" s="33" t="s">
        <v>251</v>
      </c>
      <c r="H160" s="33" t="s">
        <v>251</v>
      </c>
    </row>
    <row r="162" spans="1:8">
      <c r="A162" s="86" t="s">
        <v>256</v>
      </c>
      <c r="B162" s="87" t="s">
        <v>444</v>
      </c>
      <c r="C162" s="88" t="s">
        <v>258</v>
      </c>
      <c r="D162" s="272" t="str">
        <f>'General Info'!D4</f>
        <v>FY 2008-2009</v>
      </c>
      <c r="E162" s="272" t="str">
        <f>'General Info'!E4</f>
        <v>FY 2009-2010</v>
      </c>
      <c r="F162" s="272" t="str">
        <f>'General Info'!F4</f>
        <v>FY 2010-2011</v>
      </c>
      <c r="G162" s="272" t="str">
        <f>'General Info'!G4</f>
        <v>FY 2011-2012</v>
      </c>
      <c r="H162" s="272" t="str">
        <f>'General Info'!H4</f>
        <v>FY 2012-2013</v>
      </c>
    </row>
    <row r="163" spans="1:8">
      <c r="A163" s="89">
        <v>1</v>
      </c>
      <c r="B163" s="90" t="s">
        <v>445</v>
      </c>
      <c r="C163" s="30" t="s">
        <v>268</v>
      </c>
      <c r="D163" s="91">
        <f>D5</f>
        <v>88.299310966578659</v>
      </c>
      <c r="E163" s="91">
        <f>E5</f>
        <v>85.21266073194856</v>
      </c>
      <c r="F163" s="91">
        <f>F5</f>
        <v>84.102107450281977</v>
      </c>
      <c r="G163" s="91">
        <f>G5</f>
        <v>85.611386423879225</v>
      </c>
      <c r="H163" s="91">
        <f>H5</f>
        <v>91.07172901127251</v>
      </c>
    </row>
    <row r="164" spans="1:8">
      <c r="A164" s="89">
        <f t="shared" ref="A164:A171" si="5">A163+1</f>
        <v>2</v>
      </c>
      <c r="B164" s="90" t="s">
        <v>446</v>
      </c>
      <c r="C164" s="30" t="s">
        <v>447</v>
      </c>
      <c r="D164" s="91">
        <f>D31</f>
        <v>98.22451317296678</v>
      </c>
      <c r="E164" s="91">
        <f>E31</f>
        <v>115.65557729941293</v>
      </c>
      <c r="F164" s="91">
        <f>F31</f>
        <v>116.0841070453304</v>
      </c>
      <c r="G164" s="91">
        <f>G31</f>
        <v>137.84159885493148</v>
      </c>
      <c r="H164" s="91">
        <f>H31</f>
        <v>137.24960785826326</v>
      </c>
    </row>
    <row r="165" spans="1:8">
      <c r="A165" s="89">
        <f t="shared" si="5"/>
        <v>3</v>
      </c>
      <c r="B165" s="90" t="s">
        <v>448</v>
      </c>
      <c r="C165" s="30" t="s">
        <v>268</v>
      </c>
      <c r="D165" s="91">
        <f>D56</f>
        <v>0</v>
      </c>
      <c r="E165" s="91" t="str">
        <f>E56</f>
        <v>na</v>
      </c>
      <c r="F165" s="91" t="str">
        <f>F56</f>
        <v>na</v>
      </c>
      <c r="G165" s="91" t="str">
        <f>G56</f>
        <v>na</v>
      </c>
      <c r="H165" s="91" t="str">
        <f>H56</f>
        <v>na</v>
      </c>
    </row>
    <row r="166" spans="1:8">
      <c r="A166" s="89">
        <f t="shared" si="5"/>
        <v>4</v>
      </c>
      <c r="B166" s="90" t="s">
        <v>449</v>
      </c>
      <c r="C166" s="30" t="s">
        <v>268</v>
      </c>
      <c r="D166" s="91">
        <f>D52</f>
        <v>40.862068965517238</v>
      </c>
      <c r="E166" s="91">
        <f>E52</f>
        <v>33.138461538461534</v>
      </c>
      <c r="F166" s="91">
        <f>F52</f>
        <v>31.530769230769234</v>
      </c>
      <c r="G166" s="91">
        <f>G52</f>
        <v>26.459093982420551</v>
      </c>
      <c r="H166" s="91">
        <f>H52</f>
        <v>24.137931034482747</v>
      </c>
    </row>
    <row r="167" spans="1:8">
      <c r="A167" s="89">
        <f t="shared" si="5"/>
        <v>5</v>
      </c>
      <c r="B167" s="90" t="s">
        <v>450</v>
      </c>
      <c r="C167" s="30" t="s">
        <v>451</v>
      </c>
      <c r="D167" s="92">
        <f>D68</f>
        <v>1</v>
      </c>
      <c r="E167" s="92">
        <f>E68</f>
        <v>1</v>
      </c>
      <c r="F167" s="92">
        <f>F68</f>
        <v>1</v>
      </c>
      <c r="G167" s="92">
        <f>G68</f>
        <v>1</v>
      </c>
      <c r="H167" s="92">
        <f>H68</f>
        <v>1</v>
      </c>
    </row>
    <row r="168" spans="1:8">
      <c r="A168" s="89">
        <f t="shared" si="5"/>
        <v>6</v>
      </c>
      <c r="B168" s="90" t="s">
        <v>32</v>
      </c>
      <c r="C168" s="30" t="s">
        <v>268</v>
      </c>
      <c r="D168" s="91">
        <f>D73</f>
        <v>100</v>
      </c>
      <c r="E168" s="91">
        <f>E73</f>
        <v>70</v>
      </c>
      <c r="F168" s="91">
        <f>F73</f>
        <v>70</v>
      </c>
      <c r="G168" s="91">
        <f>G73</f>
        <v>83.040935672514621</v>
      </c>
      <c r="H168" s="91">
        <f>H73</f>
        <v>85</v>
      </c>
    </row>
    <row r="169" spans="1:8">
      <c r="A169" s="89">
        <f t="shared" si="5"/>
        <v>7</v>
      </c>
      <c r="B169" s="90" t="s">
        <v>18</v>
      </c>
      <c r="C169" s="30" t="s">
        <v>268</v>
      </c>
      <c r="D169" s="91">
        <f>D78</f>
        <v>100</v>
      </c>
      <c r="E169" s="91">
        <f>E78</f>
        <v>100</v>
      </c>
      <c r="F169" s="91">
        <f>F78</f>
        <v>100</v>
      </c>
      <c r="G169" s="91">
        <f>G78</f>
        <v>98.366111951588508</v>
      </c>
      <c r="H169" s="91">
        <f>H78</f>
        <v>84.527495995728771</v>
      </c>
    </row>
    <row r="170" spans="1:8">
      <c r="A170" s="89">
        <f t="shared" si="5"/>
        <v>8</v>
      </c>
      <c r="B170" s="90" t="s">
        <v>452</v>
      </c>
      <c r="C170" s="30" t="s">
        <v>268</v>
      </c>
      <c r="D170" s="91">
        <f>D101</f>
        <v>25.62867215041128</v>
      </c>
      <c r="E170" s="91">
        <f>E101</f>
        <v>35.062073789123971</v>
      </c>
      <c r="F170" s="91">
        <f>F101</f>
        <v>54.437505499340077</v>
      </c>
      <c r="G170" s="91">
        <f>G101</f>
        <v>40.239950621094046</v>
      </c>
      <c r="H170" s="91">
        <f>H101</f>
        <v>40.239950621094046</v>
      </c>
    </row>
    <row r="171" spans="1:8">
      <c r="A171" s="89">
        <f t="shared" si="5"/>
        <v>9</v>
      </c>
      <c r="B171" s="90" t="s">
        <v>453</v>
      </c>
      <c r="C171" s="30" t="s">
        <v>268</v>
      </c>
      <c r="D171" s="91">
        <f>D118</f>
        <v>44.750114626318208</v>
      </c>
      <c r="E171" s="91">
        <f>E118</f>
        <v>54.498304408537798</v>
      </c>
      <c r="F171" s="91">
        <f>F118</f>
        <v>63.431187818949063</v>
      </c>
      <c r="G171" s="91">
        <f>G118</f>
        <v>70.204199022145531</v>
      </c>
      <c r="H171" s="91">
        <f>H118</f>
        <v>70.204199022145531</v>
      </c>
    </row>
    <row r="173" spans="1:8">
      <c r="A173" s="86" t="s">
        <v>256</v>
      </c>
      <c r="B173" s="93" t="s">
        <v>454</v>
      </c>
      <c r="C173" s="94"/>
      <c r="D173" s="272" t="str">
        <f>'General Info'!D4</f>
        <v>FY 2008-2009</v>
      </c>
      <c r="E173" s="272" t="str">
        <f>'General Info'!E4</f>
        <v>FY 2009-2010</v>
      </c>
      <c r="F173" s="272" t="str">
        <f>'General Info'!F4</f>
        <v>FY 2010-2011</v>
      </c>
      <c r="G173" s="272" t="str">
        <f>'General Info'!G4</f>
        <v>FY 2011-2012</v>
      </c>
      <c r="H173" s="272" t="str">
        <f>'General Info'!H4</f>
        <v>FY 2012-2013</v>
      </c>
    </row>
    <row r="174" spans="1:8">
      <c r="A174" s="95"/>
      <c r="B174" s="96" t="s">
        <v>111</v>
      </c>
      <c r="C174" s="97"/>
      <c r="D174" s="97"/>
      <c r="E174" s="89"/>
      <c r="F174" s="89"/>
      <c r="G174" s="89"/>
      <c r="H174" s="89"/>
    </row>
    <row r="175" spans="1:8">
      <c r="A175" s="89">
        <v>1</v>
      </c>
      <c r="B175" s="96" t="s">
        <v>445</v>
      </c>
      <c r="C175" s="97"/>
      <c r="D175" s="89"/>
      <c r="E175" s="89" t="e">
        <f>IF(AND([5]Reliability!D8="Y",OR([5]Reliability!D26="Y",[5]Reliability!D27="Y")),"A",IF([5]Reliability!D10="Y","B",IF([5]Reliability!D13="Y","C","D")))</f>
        <v>#REF!</v>
      </c>
      <c r="F175" s="89" t="e">
        <f>IF(AND([5]Reliability!E8="Y",OR([5]Reliability!E26="Y",[5]Reliability!E27="Y")),"A",IF([5]Reliability!E10="Y","B",IF([5]Reliability!E13="Y","C","D")))</f>
        <v>#REF!</v>
      </c>
      <c r="G175" s="89" t="e">
        <f>IF(AND([5]Reliability!F8="Y",OR([5]Reliability!F26="Y",[5]Reliability!F27="Y")),"A",IF([5]Reliability!F10="Y","B",IF([5]Reliability!F13="Y","C","D")))</f>
        <v>#REF!</v>
      </c>
      <c r="H175" s="89" t="e">
        <f>IF(AND([5]Reliability!G8="Y",OR([5]Reliability!G26="Y",[5]Reliability!G27="Y")),"A",IF([5]Reliability!G10="Y","B",IF([5]Reliability!G13="Y","C","D")))</f>
        <v>#REF!</v>
      </c>
    </row>
    <row r="176" spans="1:8">
      <c r="A176" s="89">
        <f t="shared" ref="A176:A183" si="6">A175+1</f>
        <v>2</v>
      </c>
      <c r="B176" s="96" t="s">
        <v>446</v>
      </c>
      <c r="C176" s="97"/>
      <c r="D176" s="89"/>
      <c r="E176" s="89" t="e">
        <f>IF(AND([5]Reliability!D60="Y",[5]Reliability!D62="Y",[5]Reliability!D91="Y",OR([5]Reliability!D65="Y",[5]Reliability!D66="Y",[5]Reliability!D67="Y",[5]Reliability!D68="Y",[5]Reliability!D95="Y",[5]Reliability!D96="Y")),"A",IF(AND([5]Reliability!D64="Y",[5]Reliability!D88="Y",[5]Reliability!D92="Y"),"C","D"))</f>
        <v>#REF!</v>
      </c>
      <c r="F176" s="89" t="e">
        <f>IF(AND([5]Reliability!E60="Y",[5]Reliability!E62="Y",[5]Reliability!E91="Y",OR([5]Reliability!E65="Y",[5]Reliability!E66="Y",[5]Reliability!E67="Y",[5]Reliability!E68="Y",[5]Reliability!E95="Y",[5]Reliability!E96="Y")),"A",IF(AND([5]Reliability!E64="Y",[5]Reliability!E88="Y",[5]Reliability!E92="Y"),"C","D"))</f>
        <v>#REF!</v>
      </c>
      <c r="G176" s="89" t="e">
        <f>IF(AND([5]Reliability!F60="Y",[5]Reliability!F62="Y",[5]Reliability!F91="Y",OR([5]Reliability!F65="Y",[5]Reliability!F66="Y",[5]Reliability!F67="Y",[5]Reliability!F68="Y",[5]Reliability!F95="Y",[5]Reliability!F96="Y")),"A",IF(AND([5]Reliability!F64="Y",[5]Reliability!F88="Y",[5]Reliability!F92="Y"),"C","D"))</f>
        <v>#REF!</v>
      </c>
      <c r="H176" s="89" t="e">
        <f>IF(AND([5]Reliability!G60="Y",[5]Reliability!G62="Y",[5]Reliability!G91="Y",OR([5]Reliability!G65="Y",[5]Reliability!G66="Y",[5]Reliability!G67="Y",[5]Reliability!G68="Y",[5]Reliability!G95="Y",[5]Reliability!G96="Y")),"A",IF(AND([5]Reliability!G64="Y",[5]Reliability!G88="Y",[5]Reliability!G92="Y"),"C","D"))</f>
        <v>#REF!</v>
      </c>
    </row>
    <row r="177" spans="1:8">
      <c r="A177" s="89">
        <f t="shared" si="6"/>
        <v>3</v>
      </c>
      <c r="B177" s="96" t="s">
        <v>448</v>
      </c>
      <c r="C177" s="97"/>
      <c r="D177" s="89"/>
      <c r="E177" s="89" t="e">
        <f>IF(AND([5]Reliability!D152="Y",[5]Reliability!D89="Y",[5]Reliability!D158="Y",[5]Reliability!D87="Y",[5]Reliability!D91="Y",OR([5]Reliability!D95="Y",[5]Reliability!D96="Y")),"A",IF(AND([5]Reliability!D87="Y",OR([5]Reliability!D95="Y",[5]Reliability!D96="Y")),"B",IF([5]Reliability!D88="Y","C","D")))</f>
        <v>#REF!</v>
      </c>
      <c r="F177" s="89" t="e">
        <f>IF(AND([5]Reliability!E152="Y",[5]Reliability!E89="Y",[5]Reliability!E158="Y",[5]Reliability!E87="Y",[5]Reliability!E91="Y",OR([5]Reliability!E95="Y",[5]Reliability!E96="Y")),"A",IF(AND([5]Reliability!E87="Y",OR([5]Reliability!E95="Y",[5]Reliability!E96="Y")),"B",IF([5]Reliability!E88="Y","C","D")))</f>
        <v>#REF!</v>
      </c>
      <c r="G177" s="89" t="e">
        <f>IF(AND([5]Reliability!F152="Y",[5]Reliability!F89="Y",[5]Reliability!F158="Y",[5]Reliability!F87="Y",[5]Reliability!F91="Y",OR([5]Reliability!F95="Y",[5]Reliability!F96="Y")),"A",IF(AND([5]Reliability!F87="Y",OR([5]Reliability!F95="Y",[5]Reliability!F96="Y")),"B",IF([5]Reliability!F88="Y","C","D")))</f>
        <v>#REF!</v>
      </c>
      <c r="H177" s="89" t="e">
        <f>IF(AND([5]Reliability!G152="Y",[5]Reliability!G89="Y",[5]Reliability!G158="Y",[5]Reliability!G87="Y",[5]Reliability!G91="Y",OR([5]Reliability!G95="Y",[5]Reliability!G96="Y")),"A",IF(AND([5]Reliability!G87="Y",OR([5]Reliability!G95="Y",[5]Reliability!G96="Y")),"B",IF([5]Reliability!G88="Y","C","D")))</f>
        <v>#REF!</v>
      </c>
    </row>
    <row r="178" spans="1:8">
      <c r="A178" s="89">
        <f t="shared" si="6"/>
        <v>4</v>
      </c>
      <c r="B178" s="96" t="s">
        <v>449</v>
      </c>
      <c r="C178" s="97"/>
      <c r="D178" s="89"/>
      <c r="E178" s="89" t="e">
        <f>IF(AND([5]Reliability!D60="Y",[5]Reliability!D62="Y",[5]Reliability!D87="Y",[5]Reliability!D91="Y",OR([5]Reliability!D95="Y",[5]Reliability!D96="Y")),"A",IF(AND([5]Reliability!D60="Y",[5]Reliability!D62="Y",[5]Reliability!D88="Y",[5]Reliability!D94="Y"),"B",IF(AND([5]Reliability!D64="Y",[5]Reliability!D88="Y"),"C","D")))</f>
        <v>#REF!</v>
      </c>
      <c r="F178" s="89" t="e">
        <f>IF(AND([5]Reliability!E60="Y",[5]Reliability!E62="Y",[5]Reliability!E87="Y",[5]Reliability!E91="Y",OR([5]Reliability!E95="Y",[5]Reliability!E96="Y")),"A",IF(AND([5]Reliability!E60="Y",[5]Reliability!E62="Y",[5]Reliability!E88="Y",[5]Reliability!E94="Y"),"B",IF(AND([5]Reliability!E64="Y",[5]Reliability!E88="Y"),"C","D")))</f>
        <v>#REF!</v>
      </c>
      <c r="G178" s="89" t="e">
        <f>IF(AND([5]Reliability!F60="Y",[5]Reliability!F62="Y",[5]Reliability!F87="Y",[5]Reliability!F91="Y",OR([5]Reliability!F95="Y",[5]Reliability!F96="Y")),"A",IF(AND([5]Reliability!F60="Y",[5]Reliability!F62="Y",[5]Reliability!F88="Y",[5]Reliability!F94="Y"),"B",IF(AND([5]Reliability!F64="Y",[5]Reliability!F88="Y"),"C","D")))</f>
        <v>#REF!</v>
      </c>
      <c r="H178" s="89" t="e">
        <f>IF(AND([5]Reliability!G60="Y",[5]Reliability!G62="Y",[5]Reliability!G87="Y",[5]Reliability!G91="Y",OR([5]Reliability!G95="Y",[5]Reliability!G96="Y")),"A",IF(AND([5]Reliability!G60="Y",[5]Reliability!G62="Y",[5]Reliability!G88="Y",[5]Reliability!G94="Y"),"B",IF(AND([5]Reliability!G64="Y",[5]Reliability!G88="Y"),"C","D")))</f>
        <v>#REF!</v>
      </c>
    </row>
    <row r="179" spans="1:8">
      <c r="A179" s="89">
        <f t="shared" si="6"/>
        <v>5</v>
      </c>
      <c r="B179" s="96" t="s">
        <v>450</v>
      </c>
      <c r="C179" s="97"/>
      <c r="D179" s="89"/>
      <c r="E179" s="89" t="e">
        <f>IF(AND([5]Reliability!D79="Y",[5]Reliability!D82="Y"),"A",IF([5]Reliability!D79="Y","B","D"))</f>
        <v>#REF!</v>
      </c>
      <c r="F179" s="89" t="e">
        <f>IF(AND([5]Reliability!E79="Y",[5]Reliability!E82="Y"),"A",IF([5]Reliability!E79="Y","B","D"))</f>
        <v>#REF!</v>
      </c>
      <c r="G179" s="89" t="e">
        <f>IF(AND([5]Reliability!F79="Y",[5]Reliability!F82="Y"),"A",IF([5]Reliability!F79="Y","B","D"))</f>
        <v>#REF!</v>
      </c>
      <c r="H179" s="89" t="e">
        <f>IF(AND([5]Reliability!G79="Y",[5]Reliability!G82="Y"),"A",IF([5]Reliability!G79="Y","B","D"))</f>
        <v>#REF!</v>
      </c>
    </row>
    <row r="180" spans="1:8">
      <c r="A180" s="89">
        <f t="shared" si="6"/>
        <v>6</v>
      </c>
      <c r="B180" s="96" t="s">
        <v>32</v>
      </c>
      <c r="C180" s="97"/>
      <c r="D180" s="89"/>
      <c r="E180" s="89" t="e">
        <f>IF(AND([5]Reliability!D163="Y",OR([5]Reliability!D167="Y",[5]Reliability!D168="Y"),[5]Reliability!D174="Y",[5]Reliability!D178="Y"),"A",IF(AND([5]Reliability!D163="Y",[5]Reliability!D178="Y"),"B",IF([5]Reliability!D163="Y","C","D")))</f>
        <v>#REF!</v>
      </c>
      <c r="F180" s="89" t="e">
        <f>IF(AND([5]Reliability!E163="Y",OR([5]Reliability!E167="Y",[5]Reliability!E168="Y"),[5]Reliability!E174="Y",[5]Reliability!E178="Y"),"A",IF(AND([5]Reliability!E163="Y",[5]Reliability!E178="Y"),"B",IF([5]Reliability!E163="Y","C","D")))</f>
        <v>#REF!</v>
      </c>
      <c r="G180" s="89" t="e">
        <f>IF(AND([5]Reliability!F163="Y",OR([5]Reliability!F167="Y",[5]Reliability!F168="Y"),[5]Reliability!F174="Y",[5]Reliability!F178="Y"),"A",IF(AND([5]Reliability!F163="Y",[5]Reliability!F178="Y"),"B",IF([5]Reliability!F163="Y","C","D")))</f>
        <v>#REF!</v>
      </c>
      <c r="H180" s="89" t="e">
        <f>IF(AND([5]Reliability!G163="Y",OR([5]Reliability!G167="Y",[5]Reliability!G168="Y"),[5]Reliability!G174="Y",[5]Reliability!G178="Y"),"A",IF(AND([5]Reliability!G163="Y",[5]Reliability!G178="Y"),"B",IF([5]Reliability!G163="Y","C","D")))</f>
        <v>#REF!</v>
      </c>
    </row>
    <row r="181" spans="1:8">
      <c r="A181" s="89">
        <f t="shared" si="6"/>
        <v>7</v>
      </c>
      <c r="B181" s="96" t="s">
        <v>18</v>
      </c>
      <c r="C181" s="97"/>
      <c r="D181" s="89"/>
      <c r="E181" s="89" t="e">
        <f>IF(AND([5]Reliability!D70="Y",[5]Reliability!D71="Y",[5]Reliability!D74="Y",E84&gt;0,E96&gt;0,OR([5]Reliability!D76="Y",[5]Reliability!D77="Y")),"A",IF(AND([5]Reliability!D70="Y",[5]Reliability!D71="Y",E84&gt;0,E96&gt;0),"B",IF([5]Reliability!D73="Y","C","D")))</f>
        <v>#REF!</v>
      </c>
      <c r="F181" s="89" t="e">
        <f>IF(AND([5]Reliability!E70="Y",[5]Reliability!E71="Y",[5]Reliability!E74="Y",F84&gt;0,F96&gt;0,OR([5]Reliability!E76="Y",[5]Reliability!E77="Y")),"A",IF(AND([5]Reliability!E70="Y",[5]Reliability!E71="Y",F84&gt;0,F96&gt;0),"B",IF([5]Reliability!E73="Y","C","D")))</f>
        <v>#REF!</v>
      </c>
      <c r="G181" s="89" t="e">
        <f>IF(AND([5]Reliability!F70="Y",[5]Reliability!F71="Y",[5]Reliability!F74="Y",G84&gt;0,G96&gt;0,OR([5]Reliability!F76="Y",[5]Reliability!F77="Y")),"A",IF(AND([5]Reliability!F70="Y",[5]Reliability!F71="Y",G84&gt;0,G96&gt;0),"B",IF([5]Reliability!F73="Y","C","D")))</f>
        <v>#REF!</v>
      </c>
      <c r="H181" s="89" t="e">
        <f>IF(AND([5]Reliability!G70="Y",[5]Reliability!G71="Y",[5]Reliability!G74="Y",H84&gt;0,H96&gt;0,OR([5]Reliability!G76="Y",[5]Reliability!G77="Y")),"A",IF(AND([5]Reliability!G70="Y",[5]Reliability!G71="Y",H84&gt;0,H96&gt;0),"B",IF([5]Reliability!G73="Y","C","D")))</f>
        <v>#REF!</v>
      </c>
    </row>
    <row r="182" spans="1:8">
      <c r="A182" s="89">
        <f t="shared" si="6"/>
        <v>8</v>
      </c>
      <c r="B182" s="96" t="s">
        <v>452</v>
      </c>
      <c r="C182" s="97"/>
      <c r="D182" s="89"/>
      <c r="E182" s="89" t="e">
        <f>IF(AND([5]Reliability!D140="Y",[5]Reliability!D143="Y",[5]Reliability!D149="Y",[5]Reliability!D159="Y"),"A",IF(AND([5]Reliability!D140="Y",[5]Reliability!D144="Y",[5]Reliability!D149="Y",water!E105=0),"B","D"))</f>
        <v>#REF!</v>
      </c>
      <c r="F182" s="89" t="e">
        <f>IF(AND([5]Reliability!E140="Y",[5]Reliability!E143="Y",[5]Reliability!E149="Y",[5]Reliability!E159="Y"),"A",IF(AND([5]Reliability!E140="Y",[5]Reliability!E144="Y",[5]Reliability!E149="Y",water!F105=0),"B","D"))</f>
        <v>#REF!</v>
      </c>
      <c r="G182" s="89" t="e">
        <f>IF(AND([5]Reliability!F140="Y",[5]Reliability!F143="Y",[5]Reliability!F149="Y",[5]Reliability!F159="Y"),"A",IF(AND([5]Reliability!F140="Y",[5]Reliability!F144="Y",[5]Reliability!F149="Y",water!G105=0),"B","D"))</f>
        <v>#REF!</v>
      </c>
      <c r="H182" s="89" t="e">
        <f>IF(AND([5]Reliability!G140="Y",[5]Reliability!G143="Y",[5]Reliability!G149="Y",[5]Reliability!G159="Y"),"A",IF(AND([5]Reliability!G140="Y",[5]Reliability!G144="Y",[5]Reliability!G149="Y",water!H105=0),"B","D"))</f>
        <v>#REF!</v>
      </c>
    </row>
    <row r="183" spans="1:8">
      <c r="A183" s="89">
        <f t="shared" si="6"/>
        <v>9</v>
      </c>
      <c r="B183" s="96" t="s">
        <v>453</v>
      </c>
      <c r="C183" s="97"/>
      <c r="D183" s="89"/>
      <c r="E183" s="89" t="e">
        <f>IF(AND([5]Reliability!D141="Y",[5]Reliability!D149="Y",[5]Reliability!D152="Y"),"A",IF(AND([5]Reliability!D141="Y",[5]Reliability!D149="Y"),"B","D"))</f>
        <v>#REF!</v>
      </c>
      <c r="F183" s="89" t="e">
        <f>IF(AND([5]Reliability!E141="Y",[5]Reliability!E149="Y",[5]Reliability!E152="Y"),"A",IF(AND([5]Reliability!E141="Y",[5]Reliability!E149="Y"),"B","D"))</f>
        <v>#REF!</v>
      </c>
      <c r="G183" s="89" t="e">
        <f>IF(AND([5]Reliability!F141="Y",[5]Reliability!F149="Y",[5]Reliability!F152="Y"),"A",IF(AND([5]Reliability!F141="Y",[5]Reliability!F149="Y"),"B","D"))</f>
        <v>#REF!</v>
      </c>
      <c r="H183" s="89" t="e">
        <f>IF(AND([5]Reliability!G141="Y",[5]Reliability!G149="Y",[5]Reliability!G152="Y"),"A",IF(AND([5]Reliability!G141="Y",[5]Reliability!G149="Y"),"B","D"))</f>
        <v>#REF!</v>
      </c>
    </row>
    <row r="185" spans="1:8">
      <c r="A185" s="86" t="s">
        <v>256</v>
      </c>
      <c r="B185" s="87" t="s">
        <v>455</v>
      </c>
      <c r="C185" s="88" t="s">
        <v>258</v>
      </c>
      <c r="D185" s="272" t="str">
        <f>'General Info'!D4</f>
        <v>FY 2008-2009</v>
      </c>
      <c r="E185" s="272" t="str">
        <f>'General Info'!E4</f>
        <v>FY 2009-2010</v>
      </c>
      <c r="F185" s="272" t="str">
        <f>'General Info'!F4</f>
        <v>FY 2010-2011</v>
      </c>
      <c r="G185" s="272" t="str">
        <f>'General Info'!G4</f>
        <v>FY 2011-2012</v>
      </c>
      <c r="H185" s="272" t="str">
        <f>'General Info'!H4</f>
        <v>FY 2012-2013</v>
      </c>
    </row>
    <row r="186" spans="1:8">
      <c r="A186" s="89">
        <v>1</v>
      </c>
      <c r="B186" s="90" t="s">
        <v>456</v>
      </c>
      <c r="C186" s="89" t="s">
        <v>268</v>
      </c>
      <c r="D186" s="98">
        <f>IF(OR(D29="nd",'General Info'!D12="nd",'Equity Related Information'!D37="nd",'Equity Related Information'!D38="nd",'General Info'!D8="nd"),"nd",(((D29*'General Info'!D12)+('Equity Related Information'!D37*25)+('Equity Related Information'!D38)*125)/'General Info'!D8)*100)</f>
        <v>89.015233074253345</v>
      </c>
      <c r="E186" s="98" t="e">
        <f>IF(OR(E29="nd",'General Info'!E12="nd",'Equity Related Information'!E37="nd",'Equity Related Information'!E38="nd",'General Info'!E8="nd"),"nd",(((E29*'General Info'!E12)+('Equity Related Information'!E37*25)+('Equity Related Information'!E38)*125)/'General Info'!E8)*100)</f>
        <v>#VALUE!</v>
      </c>
      <c r="F186" s="98" t="e">
        <f>IF(OR(F29="nd",'General Info'!F12="nd",'Equity Related Information'!F37="nd",'Equity Related Information'!F38="nd",'General Info'!F8="nd"),"nd",(((F29*'General Info'!F12)+('Equity Related Information'!F37*25)+('Equity Related Information'!F38)*125)/'General Info'!F8)*100)</f>
        <v>#VALUE!</v>
      </c>
      <c r="G186" s="98" t="e">
        <f>IF(OR(G29="nd",'General Info'!G12="nd",'Equity Related Information'!G37="nd",'Equity Related Information'!G38="nd",'General Info'!G8="nd"),"nd",(((G29*'General Info'!G12)+('Equity Related Information'!G37*25)+('Equity Related Information'!G38)*125)/'General Info'!G8)*100)</f>
        <v>#VALUE!</v>
      </c>
      <c r="H186" s="98" t="e">
        <f>IF(OR(H29="nd",'General Info'!H12="nd",'Equity Related Information'!H37="nd",'Equity Related Information'!H38="nd",'General Info'!H8="nd"),"nd",(((H29*'General Info'!H12)+('Equity Related Information'!H37*25)+('Equity Related Information'!H38)*125)/'General Info'!H8)*100)</f>
        <v>#VALUE!</v>
      </c>
    </row>
    <row r="187" spans="1:8">
      <c r="A187" s="89">
        <v>2</v>
      </c>
      <c r="B187" s="90" t="s">
        <v>457</v>
      </c>
      <c r="C187" s="89" t="s">
        <v>268</v>
      </c>
      <c r="D187" s="98">
        <f>IF(OR('General Info'!D22="nd",'Equity Related Information'!D57="nd",'General Info'!D22="nd"),"nd",IF('General Info'!D22=0,0,('Equity Related Information'!D57/'General Info'!D22)*100))</f>
        <v>100</v>
      </c>
      <c r="E187" s="98">
        <f>IF(OR('General Info'!E22="nd",'Equity Related Information'!E57="nd",'General Info'!E22="nd"),"nd",IF('General Info'!E22=0,0,('Equity Related Information'!E57/'General Info'!E22)*100))</f>
        <v>78.319999999999993</v>
      </c>
      <c r="F187" s="98">
        <f>IF(OR('General Info'!F22="nd",'Equity Related Information'!F57="nd",'General Info'!F22="nd"),"nd",IF('General Info'!F22=0,0,('Equity Related Information'!F57/'General Info'!F22)*100))</f>
        <v>78.319999999999993</v>
      </c>
      <c r="G187" s="98">
        <f>IF(OR('General Info'!G22="nd",'Equity Related Information'!G57="nd",'General Info'!G22="nd"),"nd",IF('General Info'!G22=0,0,('Equity Related Information'!G57/'General Info'!G22)*100))</f>
        <v>100</v>
      </c>
      <c r="H187" s="98">
        <f>IF(OR('General Info'!H22="nd",'Equity Related Information'!H57="nd",'General Info'!H22="nd"),"nd",IF('General Info'!H22=0,0,('Equity Related Information'!H57/'General Info'!H22)*100))</f>
        <v>97.037793667007151</v>
      </c>
    </row>
    <row r="188" spans="1:8">
      <c r="A188" s="89">
        <v>3</v>
      </c>
      <c r="B188" s="90" t="s">
        <v>458</v>
      </c>
      <c r="C188" s="89" t="s">
        <v>459</v>
      </c>
      <c r="D188" s="98">
        <f>'Equity Related Information'!D90</f>
        <v>0</v>
      </c>
      <c r="E188" s="98" t="str">
        <f>'Equity Related Information'!E90</f>
        <v>YES</v>
      </c>
      <c r="F188" s="98" t="str">
        <f>'Equity Related Information'!F90</f>
        <v>YES</v>
      </c>
      <c r="G188" s="98" t="str">
        <f>'Equity Related Information'!G90</f>
        <v>YES</v>
      </c>
      <c r="H188" s="98" t="str">
        <f>'Equity Related Information'!H90</f>
        <v>YES</v>
      </c>
    </row>
    <row r="189" spans="1:8">
      <c r="A189" s="89">
        <v>4</v>
      </c>
      <c r="B189" s="90" t="s">
        <v>460</v>
      </c>
      <c r="C189" s="89" t="s">
        <v>268</v>
      </c>
      <c r="D189" s="98">
        <f>IF('Equity Related Information'!D92="na","na",IF(OR('Equity Related Information'!D92="nd",D66="nd"),"nd",'Equity Related Information'!D92/water!D66*100))</f>
        <v>10.408715564499341</v>
      </c>
      <c r="E189" s="98">
        <f>IF('Equity Related Information'!E92="na","na",IF(OR('Equity Related Information'!E92="nd",E66="nd"),"nd",'Equity Related Information'!E92/water!E66*100))</f>
        <v>2.7605244996549345</v>
      </c>
      <c r="F189" s="98">
        <f>IF('Equity Related Information'!F92="na","na",IF(OR('Equity Related Information'!F92="nd",F66="nd"),"nd",'Equity Related Information'!F92/water!F66*100))</f>
        <v>2.6941469657169796</v>
      </c>
      <c r="G189" s="98">
        <f>IF('Equity Related Information'!G92="na","na",IF(OR('Equity Related Information'!G92="nd",G66="nd"),"nd",'Equity Related Information'!G92/water!G66*100))</f>
        <v>2.4261535491344359</v>
      </c>
      <c r="H189" s="98">
        <f>IF('Equity Related Information'!H92="na","na",IF(OR('Equity Related Information'!H92="nd",H66="nd"),"nd",'Equity Related Information'!H92/water!H66*100))</f>
        <v>1.8354579792256847</v>
      </c>
    </row>
    <row r="190" spans="1:8">
      <c r="A190" s="89">
        <v>5</v>
      </c>
      <c r="B190" s="90" t="s">
        <v>461</v>
      </c>
      <c r="C190" s="89" t="s">
        <v>268</v>
      </c>
      <c r="D190" s="98">
        <f>IF('Equity Related Information'!D93="na","na",IF('Equity Related Information'!D93="nd","nd",'Equity Related Information'!D93))</f>
        <v>0</v>
      </c>
      <c r="E190" s="98" t="str">
        <f>IF('Equity Related Information'!E93="na","na",IF('Equity Related Information'!E93="nd","nd",'Equity Related Information'!E93))</f>
        <v>nd</v>
      </c>
      <c r="F190" s="98" t="str">
        <f>IF('Equity Related Information'!F93="na","na",IF('Equity Related Information'!F93="nd","nd",'Equity Related Information'!F93))</f>
        <v>nd</v>
      </c>
      <c r="G190" s="98" t="str">
        <f>IF('Equity Related Information'!G93="na","na",IF('Equity Related Information'!G93="nd","nd",'Equity Related Information'!G93))</f>
        <v>nd</v>
      </c>
      <c r="H190" s="98">
        <f>IF('Equity Related Information'!H93="na","na",IF('Equity Related Information'!H93="nd","nd",'Equity Related Information'!H93))</f>
        <v>8.25</v>
      </c>
    </row>
    <row r="191" spans="1:8" ht="39">
      <c r="A191" s="89">
        <v>6</v>
      </c>
      <c r="B191" s="99" t="s">
        <v>462</v>
      </c>
      <c r="C191" s="89" t="s">
        <v>268</v>
      </c>
      <c r="D191" s="98">
        <f>IF(OR(D39="nd",'Equity Related Information'!D71="nd"),"nd",IF(L191&gt;2000000,L191*150,IF('Equity Related Information'!D101="YES",L191*135,L191*70))/((D39+'Equity Related Information'!D71)*10^6))</f>
        <v>0</v>
      </c>
      <c r="E191" s="98" t="e">
        <f>IF(OR(E39="nd",'Equity Related Information'!E71="nd"),"nd",IF(L191&gt;2000000,L191*150,IF('Equity Related Information'!E101="YES",L191*135,L191*70))/((E39+'Equity Related Information'!E71)*10^6))</f>
        <v>#VALUE!</v>
      </c>
      <c r="F191" s="98" t="e">
        <f>IF(OR(F39="nd",'Equity Related Information'!F71="nd"),"nd",IF(M191&gt;2000000,M191*150,IF('Equity Related Information'!F101="YES",M191*135,M191*70))/((F39+'Equity Related Information'!F71)*10^6))</f>
        <v>#VALUE!</v>
      </c>
      <c r="G191" s="98">
        <f>IF(OR(G39="nd",'Equity Related Information'!G71="nd"),"nd",IF(N191&gt;2000000,N191*150,IF('Equity Related Information'!G101="YES",N191*135,N191*70))/((G39+'Equity Related Information'!G71)*10^6))</f>
        <v>0</v>
      </c>
      <c r="H191" s="98">
        <f>IF(OR(H39="nd",'Equity Related Information'!H71="nd"),"nd",IF(O191&gt;2000000,O191*150,IF('Equity Related Information'!H101="YES",O191*135,O191*70))/((H39+'Equity Related Information'!H71)*10^6))</f>
        <v>0</v>
      </c>
    </row>
    <row r="192" spans="1:8">
      <c r="A192" s="89">
        <v>7</v>
      </c>
      <c r="B192" s="90" t="s">
        <v>463</v>
      </c>
      <c r="C192" s="89" t="s">
        <v>459</v>
      </c>
      <c r="D192" s="98">
        <f>'Equity Related Information'!D70</f>
        <v>0</v>
      </c>
      <c r="E192" s="98" t="str">
        <f>'Equity Related Information'!E70</f>
        <v>NO</v>
      </c>
      <c r="F192" s="98" t="str">
        <f>'Equity Related Information'!F70</f>
        <v>NO</v>
      </c>
      <c r="G192" s="98" t="str">
        <f>'Equity Related Information'!G70</f>
        <v>NO</v>
      </c>
      <c r="H192" s="98" t="str">
        <f>'Equity Related Information'!H70</f>
        <v>YES</v>
      </c>
    </row>
    <row r="193" spans="1:8">
      <c r="A193" s="89">
        <v>8</v>
      </c>
      <c r="B193" s="90" t="s">
        <v>464</v>
      </c>
      <c r="C193" s="89" t="s">
        <v>268</v>
      </c>
      <c r="D193" s="98">
        <f>IF(sewerage!D48="na","na",IF(OR(sewerage!D48="nd",'Equity Related Information'!D66="nd"),"nd",sewerage!D48/'Equity Related Information'!D66*100))</f>
        <v>0</v>
      </c>
      <c r="E193" s="98" t="str">
        <f>IF(sewerage!E48="na","na",IF(OR(sewerage!E48="nd",'Equity Related Information'!E66="nd"),"nd",sewerage!E48/'Equity Related Information'!E66*100))</f>
        <v>na</v>
      </c>
      <c r="F193" s="98" t="str">
        <f>IF(sewerage!F48="na","na",IF(OR(sewerage!F48="nd",'Equity Related Information'!F66="nd"),"nd",sewerage!F48/'Equity Related Information'!F66*100))</f>
        <v>na</v>
      </c>
      <c r="G193" s="98" t="str">
        <f>IF(sewerage!G48="na","na",IF(OR(sewerage!G48="nd",'Equity Related Information'!G66="nd"),"nd",sewerage!G48/'Equity Related Information'!G66*100))</f>
        <v>na</v>
      </c>
      <c r="H193" s="98" t="str">
        <f>IF(sewerage!H48="na","na",IF(OR(sewerage!H48="nd",'Equity Related Information'!H66="nd"),"nd",sewerage!H48/'Equity Related Information'!H66*100))</f>
        <v>na</v>
      </c>
    </row>
    <row r="194" spans="1:8">
      <c r="A194" s="89">
        <v>9</v>
      </c>
      <c r="B194" s="90" t="s">
        <v>16</v>
      </c>
      <c r="C194" s="89" t="s">
        <v>268</v>
      </c>
      <c r="D194" s="98">
        <f>IF(OR('General Info'!D8="nd",D39="nd"),"nd",(D39*10^6)/'General Info'!D8)</f>
        <v>166.09392898052693</v>
      </c>
      <c r="E194" s="98">
        <f>IF(OR('General Info'!E8="nd",E39="nd"),"nd",(E39*10^6)/'General Info'!E8)</f>
        <v>181.71652222532848</v>
      </c>
      <c r="F194" s="98">
        <f>IF(OR('General Info'!F8="nd",F39="nd"),"nd",(F39*10^6)/'General Info'!F8)</f>
        <v>177.49863462588749</v>
      </c>
      <c r="G194" s="98">
        <f>IF(OR('General Info'!G8="nd",G39="nd"),"nd",(G39*10^6)/'General Info'!G8)</f>
        <v>196.01346515757945</v>
      </c>
      <c r="H194" s="98">
        <f>IF(OR('General Info'!H8="nd",H39="nd"),"nd",(H39*10^6)/'General Info'!H8)</f>
        <v>190.15659955257271</v>
      </c>
    </row>
    <row r="195" spans="1:8">
      <c r="A195" s="89">
        <v>10</v>
      </c>
      <c r="B195" s="90" t="s">
        <v>465</v>
      </c>
      <c r="C195" s="89" t="s">
        <v>466</v>
      </c>
      <c r="D195" s="98">
        <f>IF('Equity Related Information'!D68="nd","nd",'Equity Related Information'!D68)</f>
        <v>0</v>
      </c>
      <c r="E195" s="98">
        <f>IF('Equity Related Information'!E68="nd","nd",'Equity Related Information'!E68)</f>
        <v>16</v>
      </c>
      <c r="F195" s="98">
        <f>IF('Equity Related Information'!F68="nd","nd",'Equity Related Information'!F68)</f>
        <v>16</v>
      </c>
      <c r="G195" s="98" t="str">
        <f>IF('Equity Related Information'!G68="nd","nd",'Equity Related Information'!G68)</f>
        <v>nd</v>
      </c>
      <c r="H195" s="98" t="str">
        <f>IF('Equity Related Information'!H68="nd","nd",'Equity Related Information'!H68)</f>
        <v>nd</v>
      </c>
    </row>
    <row r="196" spans="1:8">
      <c r="A196" s="89">
        <v>11</v>
      </c>
      <c r="B196" s="90" t="s">
        <v>467</v>
      </c>
      <c r="C196" s="89" t="s">
        <v>466</v>
      </c>
      <c r="D196" s="98">
        <f>IF('Equity Related Information'!D69="nd","nd",'Equity Related Information'!D69)</f>
        <v>0</v>
      </c>
      <c r="E196" s="98">
        <f>IF('Equity Related Information'!E69="nd","nd",'Equity Related Information'!E69)</f>
        <v>1.5</v>
      </c>
      <c r="F196" s="98" t="str">
        <f>IF('Equity Related Information'!F69="nd","nd",'Equity Related Information'!F69)</f>
        <v>nd</v>
      </c>
      <c r="G196" s="98">
        <f>IF('Equity Related Information'!G69="nd","nd",'Equity Related Information'!G69)</f>
        <v>0.5</v>
      </c>
      <c r="H196" s="98">
        <f>IF('Equity Related Information'!H69="nd","nd",'Equity Related Information'!H69)</f>
        <v>0.5</v>
      </c>
    </row>
    <row r="197" spans="1:8">
      <c r="A197" s="89">
        <v>12</v>
      </c>
      <c r="B197" s="90" t="s">
        <v>468</v>
      </c>
      <c r="C197" s="89" t="s">
        <v>469</v>
      </c>
      <c r="D197" s="98">
        <f>IF(water!D70="nd","nd",water!D70)</f>
        <v>30</v>
      </c>
      <c r="E197" s="98">
        <f>IF(water!E70="nd","nd",water!E70)</f>
        <v>30</v>
      </c>
      <c r="F197" s="98">
        <f>IF(water!F70="nd","nd",water!F70)</f>
        <v>30</v>
      </c>
      <c r="G197" s="98">
        <f>IF(water!G70="nd","nd",water!G70)</f>
        <v>30</v>
      </c>
      <c r="H197" s="98">
        <f>IF(water!H70="nd","nd",water!H70)</f>
        <v>30</v>
      </c>
    </row>
    <row r="198" spans="1:8">
      <c r="A198" s="89">
        <v>13</v>
      </c>
      <c r="B198" s="90" t="s">
        <v>470</v>
      </c>
      <c r="C198" s="89" t="s">
        <v>268</v>
      </c>
      <c r="D198" s="98"/>
      <c r="E198" s="98"/>
      <c r="F198" s="98"/>
      <c r="G198" s="98"/>
      <c r="H198" s="98"/>
    </row>
    <row r="199" spans="1:8">
      <c r="A199" s="89">
        <v>14</v>
      </c>
      <c r="B199" s="90" t="s">
        <v>471</v>
      </c>
      <c r="C199" s="89" t="s">
        <v>268</v>
      </c>
      <c r="D199" s="98">
        <f>IF(OR(D94="nd",'General Info'!D8="nd"),"nd",D94/IF('General Info'!D8&lt;=100000,('General Info'!D8*12)/5000,('General Info'!D8*12)/10000)*100)</f>
        <v>0</v>
      </c>
      <c r="E199" s="98">
        <f>IF(OR(E94="nd",'General Info'!E8="nd"),"nd",E94/IF('General Info'!E8&lt;=100000,('General Info'!E8*12)/5000,('General Info'!E8*12)/10000)*100)</f>
        <v>0</v>
      </c>
      <c r="F199" s="98">
        <f>IF(OR(F94="nd",'General Info'!F8="nd"),"nd",F94/IF('General Info'!F8&lt;=100000,('General Info'!F8*12)/5000,('General Info'!F8*12)/10000)*100)</f>
        <v>0</v>
      </c>
      <c r="G199" s="98">
        <f>IF(OR(G94="nd",'General Info'!G8="nd"),"nd",G94/IF('General Info'!G8&lt;=100000,('General Info'!G8*12)/5000,('General Info'!G8*12)/10000)*100)</f>
        <v>35.893833770685895</v>
      </c>
      <c r="H199" s="98">
        <f>IF(OR(H94="nd",'General Info'!H8="nd"),"nd",H94/IF('General Info'!H8&lt;=100000,('General Info'!H8*12)/5000,('General Info'!H8*12)/10000)*100)</f>
        <v>5.3571275510641403</v>
      </c>
    </row>
    <row r="200" spans="1:8">
      <c r="A200" s="89">
        <v>15</v>
      </c>
      <c r="B200" s="90" t="s">
        <v>472</v>
      </c>
      <c r="C200" s="89" t="s">
        <v>268</v>
      </c>
      <c r="D200" s="98" t="e">
        <f>IF(OR('Equity Related Information'!D78="nd",'Equity Related Information'!D77="nd"),"nd",'Equity Related Information'!D78/'Equity Related Information'!D77*100)</f>
        <v>#DIV/0!</v>
      </c>
      <c r="E200" s="98">
        <f>IF(OR('Equity Related Information'!E78="nd",'Equity Related Information'!E77="nd"),"nd",'Equity Related Information'!E78/'Equity Related Information'!E77*100)</f>
        <v>25.641025641025639</v>
      </c>
      <c r="F200" s="98">
        <f>IF(OR('Equity Related Information'!F78="nd",'Equity Related Information'!F77="nd"),"nd",'Equity Related Information'!F78/'Equity Related Information'!F77*100)</f>
        <v>15.384615384615385</v>
      </c>
      <c r="G200" s="98">
        <f>IF(OR('Equity Related Information'!G78="nd",'Equity Related Information'!G77="nd"),"nd",'Equity Related Information'!G78/'Equity Related Information'!G77*100)</f>
        <v>23.076923076923077</v>
      </c>
      <c r="H200" s="98">
        <f>IF(OR('Equity Related Information'!H78="nd",'Equity Related Information'!H77="nd"),"nd",'Equity Related Information'!H78/'Equity Related Information'!H77*100)</f>
        <v>30.76923076923077</v>
      </c>
    </row>
    <row r="201" spans="1:8">
      <c r="A201" s="89">
        <v>16</v>
      </c>
      <c r="B201" s="90" t="s">
        <v>473</v>
      </c>
      <c r="C201" s="89" t="s">
        <v>474</v>
      </c>
      <c r="D201" s="98">
        <f>IF(OR(D105="nd",'Equity Related Information'!D66="nd"),"nd",((D105/365)*(10^5))/('Equity Related Information'!D66*1000))</f>
        <v>2.1055739253660843</v>
      </c>
      <c r="E201" s="98">
        <f>IF(OR(E105="nd",'Equity Related Information'!E66="nd"),"nd",((E105/365)*(10^5))/('Equity Related Information'!E66*1000))</f>
        <v>3.5135932560590093</v>
      </c>
      <c r="F201" s="98">
        <f>IF(OR(F105="nd",'Equity Related Information'!F66="nd"),"nd",((F105/365)*(10^5))/('Equity Related Information'!F66*1000))</f>
        <v>0</v>
      </c>
      <c r="G201" s="98">
        <f>IF(OR(G105="nd",'Equity Related Information'!G66="nd"),"nd",((G105/365)*(10^5))/('Equity Related Information'!G66*1000))</f>
        <v>1.2125927366695377</v>
      </c>
      <c r="H201" s="98">
        <f>IF(OR(H105="nd",'Equity Related Information'!H66="nd"),"nd",((H105/365)*(10^5))/('Equity Related Information'!H66*1000))</f>
        <v>1.2125927366695377</v>
      </c>
    </row>
    <row r="202" spans="1:8">
      <c r="A202" s="89">
        <v>17</v>
      </c>
      <c r="B202" s="90" t="s">
        <v>475</v>
      </c>
      <c r="C202" s="89" t="s">
        <v>268</v>
      </c>
      <c r="D202" s="98" t="e">
        <f>IF(OR(D141="nd",D140="nd"),"nd",D141/D140*100)</f>
        <v>#DIV/0!</v>
      </c>
      <c r="E202" s="98">
        <f>IF(OR(E141="nd",E140="nd"),"nd",E141/E140*100)</f>
        <v>333.33333333333337</v>
      </c>
      <c r="F202" s="98">
        <f>IF(OR(F141="nd",F140="nd"),"nd",F141/F140*100)</f>
        <v>333.33333333333337</v>
      </c>
      <c r="G202" s="98">
        <f>IF(OR(G141="nd",G140="nd"),"nd",G141/G140*100)</f>
        <v>100</v>
      </c>
      <c r="H202" s="98">
        <f>IF(OR(H141="nd",H140="nd"),"nd",H141/H140*100)</f>
        <v>84.615384615384613</v>
      </c>
    </row>
    <row r="203" spans="1:8">
      <c r="A203" s="89">
        <v>18</v>
      </c>
      <c r="B203" s="90" t="s">
        <v>476</v>
      </c>
      <c r="C203" s="89" t="s">
        <v>477</v>
      </c>
      <c r="D203" s="98">
        <f>IF(OR(D141="nd",D66="nd"),"nd",D141/(D66/1000))</f>
        <v>0</v>
      </c>
      <c r="E203" s="98">
        <f>IF(OR(E141="nd",E66="nd"),"nd",E141/(E66/1000))</f>
        <v>0.69013112491373363</v>
      </c>
      <c r="F203" s="98">
        <f>IF(OR(F141="nd",F66="nd"),"nd",F141/(F66/1000))</f>
        <v>0.67353674142924502</v>
      </c>
      <c r="G203" s="98">
        <f>IF(OR(G141="nd",G66="nd"),"nd",G141/(G66/1000))</f>
        <v>1.2227299053993179</v>
      </c>
      <c r="H203" s="98">
        <f>IF(OR(H141="nd",H66="nd"),"nd",H141/(H66/1000))</f>
        <v>0.64919735599622286</v>
      </c>
    </row>
    <row r="204" spans="1:8">
      <c r="A204" s="89">
        <v>19</v>
      </c>
      <c r="B204" s="90" t="s">
        <v>478</v>
      </c>
      <c r="C204" s="89" t="s">
        <v>477</v>
      </c>
      <c r="D204" s="98">
        <f>IF(OR('Equity Related Information'!D192="nd",'General Info'!D8="nd"),"nd",'Equity Related Information'!D192/'General Info'!D8)</f>
        <v>6.7628865979381444E-3</v>
      </c>
      <c r="E204" s="98">
        <f>IF(OR('Equity Related Information'!E192="nd",'General Info'!E8="nd"),"nd",'Equity Related Information'!E192*10^5/'General Info'!E8)</f>
        <v>861.05675146771034</v>
      </c>
      <c r="F204" s="98">
        <f>IF(OR('Equity Related Information'!F192="nd",'General Info'!F8="nd"),"nd",'Equity Related Information'!F192*10^5/'General Info'!F8)</f>
        <v>714.09066084107042</v>
      </c>
      <c r="G204" s="98">
        <f>IF(OR('Equity Related Information'!G192="nd",'General Info'!G8="nd"),"nd",'Equity Related Information'!G192*10^5/'General Info'!G8)</f>
        <v>803.9865348424205</v>
      </c>
      <c r="H204" s="98">
        <f>IF(OR('Equity Related Information'!H192="nd",'General Info'!H8="nd"),"nd",'Equity Related Information'!H192*10^5/'General Info'!H8)</f>
        <v>779.96348581861196</v>
      </c>
    </row>
    <row r="205" spans="1:8">
      <c r="A205" s="89">
        <v>20</v>
      </c>
      <c r="B205" s="90" t="s">
        <v>479</v>
      </c>
      <c r="C205" s="89" t="s">
        <v>459</v>
      </c>
      <c r="D205" s="98" t="str">
        <f>'Equity Related Information'!D76</f>
        <v>NO</v>
      </c>
      <c r="E205" s="98" t="str">
        <f>'Equity Related Information'!E76</f>
        <v>NO</v>
      </c>
      <c r="F205" s="98" t="str">
        <f>'Equity Related Information'!F76</f>
        <v>NO</v>
      </c>
      <c r="G205" s="98" t="str">
        <f>'Equity Related Information'!G76</f>
        <v>NO</v>
      </c>
      <c r="H205" s="98" t="str">
        <f>'Equity Related Information'!H76</f>
        <v>NO</v>
      </c>
    </row>
    <row r="206" spans="1:8">
      <c r="A206" s="89">
        <v>21</v>
      </c>
      <c r="B206" s="90" t="s">
        <v>480</v>
      </c>
      <c r="C206" s="89" t="s">
        <v>435</v>
      </c>
      <c r="D206" s="98">
        <f>IF(OR(D122="nd",D66="nd"),"nd",D122*100000/D66)</f>
        <v>135.45208521268475</v>
      </c>
      <c r="E206" s="98">
        <f>IF(OR(E122="nd",E66="nd"),"nd",E122*100000/E66)</f>
        <v>377.08764665286407</v>
      </c>
      <c r="F206" s="98">
        <f>IF(OR(F122="nd",F66="nd"),"nd",F122*100000/F66)</f>
        <v>422.9137199434229</v>
      </c>
      <c r="G206" s="98">
        <f>IF(OR(G122="nd",G66="nd"),"nd",G122*100000/G66)</f>
        <v>471.26584722311605</v>
      </c>
      <c r="H206" s="98">
        <f>IF(OR(H122="nd",H66="nd"),"nd",H122*100000/H66)</f>
        <v>432.1883852691218</v>
      </c>
    </row>
    <row r="207" spans="1:8">
      <c r="A207" s="89">
        <v>22</v>
      </c>
      <c r="B207" s="90" t="s">
        <v>481</v>
      </c>
      <c r="C207" s="89" t="s">
        <v>477</v>
      </c>
      <c r="D207" s="98">
        <f>IF(OR('Equity Related Information'!D191="nd",'General Info'!D8="nd"),"nd",'Equity Related Information'!D191*10^5/'General Info'!D8)</f>
        <v>661.26861397479956</v>
      </c>
      <c r="E207" s="98">
        <f>IF(OR('Equity Related Information'!E191="nd",'General Info'!E8="nd"),"nd",'Equity Related Information'!E191*10^5/'General Info'!E8)</f>
        <v>900.19569471624266</v>
      </c>
      <c r="F207" s="98">
        <f>IF(OR('Equity Related Information'!F191="nd",'General Info'!F8="nd"),"nd",'Equity Related Information'!F191*10^5/'General Info'!F8)</f>
        <v>1041.780447842709</v>
      </c>
      <c r="G207" s="98">
        <f>IF(OR('Equity Related Information'!G191="nd",'General Info'!G8="nd"),"nd",'Equity Related Information'!G191*10^5/'General Info'!G8)</f>
        <v>1257.4813793834653</v>
      </c>
      <c r="H207" s="98">
        <f>IF(OR('Equity Related Information'!H191="nd",'General Info'!H8="nd"),"nd",'Equity Related Information'!H191*10^5/'General Info'!H8)</f>
        <v>1219.9079431201626</v>
      </c>
    </row>
    <row r="208" spans="1:8">
      <c r="A208" s="89">
        <v>23</v>
      </c>
      <c r="B208" s="90" t="s">
        <v>482</v>
      </c>
      <c r="C208" s="89" t="s">
        <v>459</v>
      </c>
      <c r="D208" s="98" t="str">
        <f>'Equity Related Information'!D75</f>
        <v>NO</v>
      </c>
      <c r="E208" s="98" t="str">
        <f>'Equity Related Information'!E75</f>
        <v>NO</v>
      </c>
      <c r="F208" s="98" t="str">
        <f>'Equity Related Information'!F75</f>
        <v>NO</v>
      </c>
      <c r="G208" s="98" t="str">
        <f>'Equity Related Information'!G75</f>
        <v>NO</v>
      </c>
      <c r="H208" s="98" t="str">
        <f>'Equity Related Information'!H75</f>
        <v>YES</v>
      </c>
    </row>
    <row r="209" spans="1:8">
      <c r="A209" s="89">
        <v>24</v>
      </c>
      <c r="B209" s="90" t="s">
        <v>483</v>
      </c>
      <c r="C209" s="89" t="s">
        <v>268</v>
      </c>
      <c r="D209" s="98">
        <f>IF(OR('Equity Related Information'!D66="nd",water!D39="nd"),"nd",('Equity Related Information'!D66-water!D39)/'Equity Related Information'!D66*100)</f>
        <v>0</v>
      </c>
      <c r="E209" s="98">
        <f>IF(OR('Equity Related Information'!E66="nd",water!E39="nd"),"nd",('Equity Related Information'!E66-water!E39)/'Equity Related Information'!E66*100)</f>
        <v>0</v>
      </c>
      <c r="F209" s="98">
        <f>IF(OR('Equity Related Information'!F66="nd",water!F39="nd"),"nd",('Equity Related Information'!F66-water!F39)/'Equity Related Information'!F66*100)</f>
        <v>0</v>
      </c>
      <c r="G209" s="98">
        <f>IF(OR('Equity Related Information'!G66="nd",water!G39="nd"),"nd",('Equity Related Information'!G66-water!G39)/'Equity Related Information'!G66*100)</f>
        <v>0</v>
      </c>
      <c r="H209" s="98">
        <f>IF(OR('Equity Related Information'!H66="nd",water!H39="nd"),"nd",('Equity Related Information'!H66-water!H39)/'Equity Related Information'!H66*100)</f>
        <v>0</v>
      </c>
    </row>
    <row r="210" spans="1:8">
      <c r="A210" s="89">
        <v>25</v>
      </c>
      <c r="B210" s="90" t="s">
        <v>484</v>
      </c>
      <c r="C210" s="89" t="s">
        <v>268</v>
      </c>
      <c r="D210" s="98">
        <f>IF('Equity Related Information'!D67="na",0,IF(OR(D39="nd",'Equity Related Information'!D61="nd",'Equity Related Information'!D64="nd",'Equity Related Information'!D67="nd",'Equity Related Information'!D66="nd"),"nd",(SUM(D39,'Equity Related Information'!D61,'Equity Related Information'!D64)-'Equity Related Information'!D67)/'Equity Related Information'!D66*100))</f>
        <v>200</v>
      </c>
      <c r="E210" s="98">
        <f>IF('Equity Related Information'!E67="na",0,IF(OR(E39="nd",'Equity Related Information'!E61="nd",'Equity Related Information'!E64="nd",'Equity Related Information'!E67="nd",'Equity Related Information'!E66="nd"),"nd",(E39-'Equity Related Information'!E67)/E39*100))</f>
        <v>20</v>
      </c>
      <c r="F210" s="98">
        <f>IF('Equity Related Information'!F67="na",0,IF(OR(F39="nd",'Equity Related Information'!F61="nd",'Equity Related Information'!F64="nd",'Equity Related Information'!F67="nd",'Equity Related Information'!F66="nd"),"nd",(F39-'Equity Related Information'!F67)/F39*100))</f>
        <v>20</v>
      </c>
      <c r="G210" s="98">
        <f>IF('Equity Related Information'!G67="na",0,IF(OR(G39="nd",'Equity Related Information'!G61="nd",'Equity Related Information'!G64="nd",'Equity Related Information'!G67="nd",'Equity Related Information'!G66="nd"),"nd",(G39-'Equity Related Information'!G67)/G39*100))</f>
        <v>0</v>
      </c>
      <c r="H210" s="98">
        <f>IF('Equity Related Information'!H67="na",0,IF(OR(H39="nd",'Equity Related Information'!H61="nd",'Equity Related Information'!H64="nd",'Equity Related Information'!H67="nd",'Equity Related Information'!H66="nd"),"nd",(H39-'Equity Related Information'!H67)/H39*100))</f>
        <v>0.20283975659228778</v>
      </c>
    </row>
    <row r="211" spans="1:8" ht="26.25">
      <c r="A211" s="89">
        <v>26</v>
      </c>
      <c r="B211" s="99" t="s">
        <v>485</v>
      </c>
      <c r="C211" s="89" t="s">
        <v>268</v>
      </c>
      <c r="D211" s="98" t="e">
        <f>IF('Equity Related Information'!D67="na",0,IF(OR('Equity Related Information'!D67="nd",D48="nd",water!D49="nd",water!D50="nd"),"nd",('Equity Related Information'!D67-SUM(D48,water!D49,water!D50))/'Equity Related Information'!D67*100))</f>
        <v>#DIV/0!</v>
      </c>
      <c r="E211" s="98">
        <f>IF('Equity Related Information'!E67="na",0,IF(OR('Equity Related Information'!E67="nd",E48="nd",water!E49="nd",water!E50="nd"),"nd",('Equity Related Information'!E67-SUM(E48,water!E49,water!E50))/'Equity Related Information'!E67*100))</f>
        <v>16.259615384615376</v>
      </c>
      <c r="F211" s="98">
        <f>IF('Equity Related Information'!F67="na",0,IF(OR('Equity Related Information'!F67="nd",F48="nd",water!F49="nd",water!F50="nd"),"nd",('Equity Related Information'!F67-SUM(F48,water!F49,water!F50))/'Equity Related Information'!F67*100))</f>
        <v>14.25961538461539</v>
      </c>
      <c r="G211" s="98">
        <f>IF('Equity Related Information'!G67="na",0,IF(OR('Equity Related Information'!G67="nd",G48="nd",water!G49="nd",water!G50="nd"),"nd",('Equity Related Information'!G67-SUM(G48,water!G49,water!G50))/'Equity Related Information'!G67*100))</f>
        <v>26.454361054766736</v>
      </c>
      <c r="H211" s="98">
        <f>IF('Equity Related Information'!H67="na",0,IF(OR('Equity Related Information'!H67="nd",H48="nd",water!H49="nd",water!H50="nd"),"nd",('Equity Related Information'!H67-SUM(H48,water!H49,water!H50))/'Equity Related Information'!H67*100))</f>
        <v>23.746612466124656</v>
      </c>
    </row>
    <row r="212" spans="1:8">
      <c r="A212" s="89">
        <v>27</v>
      </c>
      <c r="B212" s="90" t="s">
        <v>486</v>
      </c>
      <c r="C212" s="89" t="s">
        <v>477</v>
      </c>
      <c r="D212" s="98">
        <f>IF('Equity Related Information'!D56="na","na",IF(OR('Equity Related Information'!D56="nd",'Equity Related Information'!D52="nd",'Equity Related Information'!D53="nd",'Equity Related Information'!D55="nd"),"nd",'Equity Related Information'!D56/SUM('Equity Related Information'!D52,'Equity Related Information'!D53,'Equity Related Information'!D55)))</f>
        <v>0</v>
      </c>
      <c r="E212" s="98">
        <f>IF('Equity Related Information'!E56="na","na",IF(OR('Equity Related Information'!E56="nd",'Equity Related Information'!E52="nd",'Equity Related Information'!E53="nd",'Equity Related Information'!E55="nd"),"nd",'Equity Related Information'!E56/SUM('Equity Related Information'!E52,'Equity Related Information'!E53,'Equity Related Information'!E55)))</f>
        <v>44.554455445544555</v>
      </c>
      <c r="F212" s="98">
        <f>IF('Equity Related Information'!F56="na","na",IF(OR('Equity Related Information'!F56="nd",'Equity Related Information'!F52="nd",'Equity Related Information'!F53="nd",'Equity Related Information'!F55="nd"),"nd",'Equity Related Information'!F56/SUM('Equity Related Information'!F52,'Equity Related Information'!F53,'Equity Related Information'!F55)))</f>
        <v>33.415841584158414</v>
      </c>
      <c r="G212" s="98">
        <f>IF('Equity Related Information'!G56="na","na",IF(OR('Equity Related Information'!G56="nd",'Equity Related Information'!G52="nd",'Equity Related Information'!G53="nd",'Equity Related Information'!G55="nd"),"nd",'Equity Related Information'!G56/SUM('Equity Related Information'!G52,'Equity Related Information'!G53,'Equity Related Information'!G55)))</f>
        <v>8.3618581907090466</v>
      </c>
      <c r="H212" s="98">
        <f>IF('Equity Related Information'!H56="na","na",IF(OR('Equity Related Information'!H56="nd",'Equity Related Information'!H52="nd",'Equity Related Information'!H53="nd",'Equity Related Information'!H55="nd"),"nd",'Equity Related Information'!H56/SUM('Equity Related Information'!H52,'Equity Related Information'!H53,'Equity Related Information'!H55)))</f>
        <v>4.2553191489361701</v>
      </c>
    </row>
    <row r="213" spans="1:8">
      <c r="A213" s="89">
        <v>28</v>
      </c>
      <c r="B213" s="90" t="s">
        <v>487</v>
      </c>
      <c r="C213" s="89" t="s">
        <v>488</v>
      </c>
      <c r="D213" s="98">
        <f>IF('Equity Related Information'!D54="na","na",IF(OR('Equity Related Information'!D54="nd",'Equity Related Information'!D52="nd",'Equity Related Information'!D53="nd"),"nd",'Equity Related Information'!D54/SUM('Equity Related Information'!D52,'Equity Related Information'!D53)*100))</f>
        <v>0</v>
      </c>
      <c r="E213" s="98">
        <f>IF('Equity Related Information'!E54="na","na",IF(OR('Equity Related Information'!E54="nd",'Equity Related Information'!E52="nd",'Equity Related Information'!E53="nd"),"nd",'Equity Related Information'!E54/SUM('Equity Related Information'!E52,'Equity Related Information'!E53)*100))</f>
        <v>3.2467532467532463</v>
      </c>
      <c r="F213" s="98">
        <f>IF('Equity Related Information'!F54="na","na",IF(OR('Equity Related Information'!F54="nd",'Equity Related Information'!F52="nd",'Equity Related Information'!F53="nd"),"nd",'Equity Related Information'!F54/SUM('Equity Related Information'!F52,'Equity Related Information'!F53)*100))</f>
        <v>4.545454545454545</v>
      </c>
      <c r="G213" s="98">
        <f>IF('Equity Related Information'!G54="na","na",IF(OR('Equity Related Information'!G54="nd",'Equity Related Information'!G52="nd",'Equity Related Information'!G53="nd"),"nd",'Equity Related Information'!G54/SUM('Equity Related Information'!G52,'Equity Related Information'!G53)*100))</f>
        <v>6.4935064935064926</v>
      </c>
      <c r="H213" s="98" t="str">
        <f>IF('Equity Related Information'!H54="na","na",IF(OR('Equity Related Information'!H54="nd",'Equity Related Information'!H52="nd",'Equity Related Information'!H53="nd"),"nd",'Equity Related Information'!H54/SUM('Equity Related Information'!H52,'Equity Related Information'!H53)*100))</f>
        <v>nd</v>
      </c>
    </row>
    <row r="214" spans="1:8">
      <c r="A214" s="89">
        <v>29</v>
      </c>
      <c r="B214" s="90" t="s">
        <v>489</v>
      </c>
      <c r="C214" s="89" t="s">
        <v>268</v>
      </c>
      <c r="D214" s="98">
        <f>IF(AND(D49="na",D50="na"),"na",IF(OR(D49="nd",D50="nd",'Equity Related Information'!D66="nd"),"nd",SUM(D49,D50)/('Equity Related Information'!D66*100)))</f>
        <v>0</v>
      </c>
      <c r="E214" s="98">
        <f>IF(AND(E49="na",E50="na"),"na",IF(OR(E49="nd",E50="nd",'Equity Related Information'!E66="nd"),"nd",SUM(E49,E50)/('Equity Related Information'!E66*100)))</f>
        <v>1.3076923076923078E-5</v>
      </c>
      <c r="F214" s="98">
        <f>IF(AND(F49="na",F50="na"),"na",IF(OR(F49="nd",F50="nd",'Equity Related Information'!F66="nd"),"nd",SUM(F49,F50)/('Equity Related Information'!F66*100)))</f>
        <v>1.2307692307692308E-5</v>
      </c>
      <c r="G214" s="98">
        <f>IF(AND(G49="na",G50="na"),"na",IF(OR(G49="nd",G50="nd",'Equity Related Information'!G66="nd"),"nd",SUM(G49,G50)/('Equity Related Information'!G66*100)))</f>
        <v>4.7329276538201487E-7</v>
      </c>
      <c r="H214" s="98">
        <f>IF(AND(H49="na",H50="na"),"na",IF(OR(H49="nd",H50="nd",'Equity Related Information'!H66="nd"),"nd",SUM(H49,H50)/('Equity Related Information'!H66*100)))</f>
        <v>2.3664638269100745E-5</v>
      </c>
    </row>
    <row r="215" spans="1:8">
      <c r="A215" s="89">
        <v>30</v>
      </c>
      <c r="B215" s="90" t="s">
        <v>490</v>
      </c>
      <c r="C215" s="89" t="s">
        <v>459</v>
      </c>
      <c r="D215" s="98">
        <f>'Equity Related Information'!D88</f>
        <v>0</v>
      </c>
      <c r="E215" s="98" t="str">
        <f>'Equity Related Information'!E88</f>
        <v>YES</v>
      </c>
      <c r="F215" s="98" t="str">
        <f>'Equity Related Information'!F88</f>
        <v>YES</v>
      </c>
      <c r="G215" s="98" t="str">
        <f>'Equity Related Information'!G88</f>
        <v>YES</v>
      </c>
      <c r="H215" s="98" t="str">
        <f>'Equity Related Information'!H88</f>
        <v>YES</v>
      </c>
    </row>
    <row r="216" spans="1:8">
      <c r="A216" s="89">
        <v>31</v>
      </c>
      <c r="B216" s="90" t="s">
        <v>491</v>
      </c>
      <c r="C216" s="89" t="s">
        <v>477</v>
      </c>
      <c r="D216" s="98">
        <f>IF(OR(D75="nd",D66="nd"),"nd",D75/(D66/1000))</f>
        <v>19.984733883838736</v>
      </c>
      <c r="E216" s="98">
        <f>IF(OR(E75="nd",E66="nd"),"nd",E75/(E66/1000))</f>
        <v>8.2815734989648035</v>
      </c>
      <c r="F216" s="98">
        <f>IF(OR(F75="nd",F66="nd"),"nd",F75/(F66/1000))</f>
        <v>6.0618306728632048</v>
      </c>
      <c r="G216" s="98">
        <f>IF(OR(G75="nd",G66="nd"),"nd",G75/(G66/1000))</f>
        <v>22.009138297187722</v>
      </c>
      <c r="H216" s="98">
        <f>IF(OR(H75="nd",H66="nd"),"nd",H75/(H66/1000))</f>
        <v>22.42681775259679</v>
      </c>
    </row>
    <row r="217" spans="1:8">
      <c r="A217" s="89">
        <v>32</v>
      </c>
      <c r="B217" s="90" t="s">
        <v>492</v>
      </c>
      <c r="C217" s="89" t="s">
        <v>268</v>
      </c>
      <c r="D217" s="98">
        <f>IF('Equity Related Information'!D81="na","na",IF('Equity Related Information'!D81="nd","nd",'Equity Related Information'!D81))</f>
        <v>0</v>
      </c>
      <c r="E217" s="98" t="str">
        <f>IF('Equity Related Information'!E81="na","na",IF('Equity Related Information'!E81="nd","nd",'Equity Related Information'!E81))</f>
        <v>na</v>
      </c>
      <c r="F217" s="98" t="str">
        <f>IF('Equity Related Information'!F81="na","na",IF('Equity Related Information'!F81="nd","nd",'Equity Related Information'!F81))</f>
        <v>na</v>
      </c>
      <c r="G217" s="98" t="str">
        <f>IF('Equity Related Information'!G81="na","na",IF('Equity Related Information'!G81="nd","nd",'Equity Related Information'!G81))</f>
        <v>na</v>
      </c>
      <c r="H217" s="98" t="str">
        <f>IF('Equity Related Information'!H81="na","na",IF('Equity Related Information'!H81="nd","nd",'Equity Related Information'!H81))</f>
        <v>na</v>
      </c>
    </row>
    <row r="218" spans="1:8">
      <c r="A218" s="89">
        <v>33</v>
      </c>
      <c r="B218" s="90" t="s">
        <v>493</v>
      </c>
      <c r="C218" s="89" t="s">
        <v>435</v>
      </c>
      <c r="D218" s="98">
        <f>IF(OR('Equity Related Information'!D66="nd",water!D48="nd",water!D49="nd",water!D50="nd",water!D110="nd"),"nd",('Equity Related Information'!D66-SUM(water!D48,water!D49,water!D50))/(water!D110/'Equity Related Information'!D66))</f>
        <v>0.3230552291421856</v>
      </c>
      <c r="E218" s="98">
        <f>IF(OR('Equity Related Information'!E66="nd",water!E48="nd",water!E49="nd",water!E50="nd",water!E110="nd"),"nd",('Equity Related Information'!E66-SUM(water!E48,water!E49,water!E50))/(water!E110/'Equity Related Information'!E66))</f>
        <v>0.19507955936352503</v>
      </c>
      <c r="F218" s="98">
        <f>IF(OR('Equity Related Information'!F66="nd",water!F48="nd",water!F49="nd",water!F50="nd",water!F110="nd"),"nd",('Equity Related Information'!F66-SUM(water!F48,water!F49,water!F50))/(water!F110/'Equity Related Information'!F66))</f>
        <v>0.29189947206335243</v>
      </c>
      <c r="G218" s="98">
        <f>IF(OR('Equity Related Information'!G66="nd",water!G48="nd",water!G49="nd",water!G50="nd",water!G110="nd"),"nd",('Equity Related Information'!G66-SUM(water!G48,water!G49,water!G50))/(water!G110/'Equity Related Information'!G66))</f>
        <v>0.2232364555204073</v>
      </c>
      <c r="H218" s="98">
        <f>IF(OR('Equity Related Information'!H66="nd",water!H48="nd",water!H49="nd",water!H50="nd",water!H110="nd"),"nd",('Equity Related Information'!H66-SUM(water!H48,water!H49,water!H50))/(water!H110/'Equity Related Information'!H66))</f>
        <v>0.20169219196049676</v>
      </c>
    </row>
    <row r="219" spans="1:8">
      <c r="A219" s="89">
        <v>34</v>
      </c>
      <c r="B219" s="90" t="s">
        <v>494</v>
      </c>
      <c r="C219" s="89" t="s">
        <v>268</v>
      </c>
      <c r="D219" s="98">
        <f>IF(AND(D65="na",D8="na",D12="na",D16="na",D20="na",D58="na",D62="na"),"na",IF(OR(D65="nd",D8="nd",D12="nd",D16="nd",D20="nd",D58="nd",D62="nd",D66="nd"),"nd",(D65+D8+D12+D16+D20+D58+D62)/D66*100))</f>
        <v>0</v>
      </c>
      <c r="E219" s="98" t="str">
        <f>IF(AND(E65="na",E8="na",E12="na",E16="na",E20="na",E58="na",E62="na"),"na",IF(OR(E65="nd",E8="nd",E12="nd",E16="nd",E20="nd",E58="nd",E62="nd",E66="nd"),"nd",(E65+E8+E12+E16+E20+E58+E62)/E66*100))</f>
        <v>na</v>
      </c>
      <c r="F219" s="98" t="str">
        <f>IF(AND(F65="na",F8="na",F12="na",F16="na",F20="na",F58="na",F62="na"),"na",IF(OR(F65="nd",F8="nd",F12="nd",F16="nd",F20="nd",F58="nd",F62="nd",F66="nd"),"nd",(F65+F8+F12+F16+F20+F58+F62)/F66*100))</f>
        <v>na</v>
      </c>
      <c r="G219" s="98" t="str">
        <f>IF(AND(G65="na",G8="na",G12="na",G16="na",G20="na",G58="na",G62="na"),"na",IF(OR(G65="nd",G8="nd",G12="nd",G16="nd",G20="nd",G58="nd",G62="nd",G66="nd"),"nd",(G65+G8+G12+G16+G20+G58+G62)/G66*100))</f>
        <v>na</v>
      </c>
      <c r="H219" s="98" t="str">
        <f>IF(AND(H65="na",H8="na",H12="na",H16="na",H20="na",H58="na",H62="na"),"na",IF(OR(H65="nd",H8="nd",H12="nd",H16="nd",H20="nd",H58="nd",H62="nd",H66="nd"),"nd",(H65+H8+H12+H16+H20+H58+H62)/H66*100))</f>
        <v>na</v>
      </c>
    </row>
    <row r="220" spans="1:8">
      <c r="A220" s="89">
        <v>35</v>
      </c>
      <c r="B220" s="90" t="s">
        <v>495</v>
      </c>
      <c r="C220" s="89" t="s">
        <v>459</v>
      </c>
      <c r="D220" s="98" t="e">
        <f>IF([5]Reliability!C156="Y","Y","N")</f>
        <v>#REF!</v>
      </c>
      <c r="E220" s="98" t="e">
        <f>IF([5]Reliability!D156="Y","Y","N")</f>
        <v>#REF!</v>
      </c>
      <c r="F220" s="98" t="e">
        <f>IF([5]Reliability!E156="Y","Y","N")</f>
        <v>#REF!</v>
      </c>
      <c r="G220" s="98" t="e">
        <f>IF([5]Reliability!F156="Y","Y","N")</f>
        <v>#REF!</v>
      </c>
      <c r="H220" s="98" t="e">
        <f>IF([5]Reliability!G156="Y","Y","N")</f>
        <v>#REF!</v>
      </c>
    </row>
    <row r="221" spans="1:8">
      <c r="A221" s="89">
        <v>36</v>
      </c>
      <c r="B221" s="90" t="s">
        <v>496</v>
      </c>
      <c r="C221" s="89" t="s">
        <v>268</v>
      </c>
      <c r="D221" s="98">
        <f>D112/(D112+D116)*100</f>
        <v>56.696118336146142</v>
      </c>
      <c r="E221" s="98">
        <f>IF(OR(E112="nd",E116="nd"),"nd",E112/(E112+E116)*100)</f>
        <v>32.23386279148361</v>
      </c>
      <c r="F221" s="98">
        <f>IF(OR(F112="nd",F116="nd"),"nd",F112/(F112+F116)*100)</f>
        <v>42.380882421078198</v>
      </c>
      <c r="G221" s="98">
        <f>IF(OR(G112="nd",G116="nd"),"nd",G112/(G112+G116)*100)</f>
        <v>44.045703250724166</v>
      </c>
      <c r="H221" s="98">
        <f>IF(OR(H112="nd",H116="nd"),"nd",H112/(H112+H116)*100)</f>
        <v>44.045703250724166</v>
      </c>
    </row>
    <row r="222" spans="1:8">
      <c r="A222" s="89">
        <v>37</v>
      </c>
      <c r="B222" s="90" t="s">
        <v>497</v>
      </c>
      <c r="C222" s="89" t="s">
        <v>459</v>
      </c>
      <c r="D222" s="98" t="e">
        <f>IF(AND([5]Reliability!C158="Y",[5]Reliability!C155="Y"),"Y","N")</f>
        <v>#REF!</v>
      </c>
      <c r="E222" s="98" t="e">
        <f>IF(AND([5]Reliability!D158="Y",[5]Reliability!D155="Y"),"Y","N")</f>
        <v>#REF!</v>
      </c>
      <c r="F222" s="98" t="e">
        <f>IF(AND([5]Reliability!E158="Y",[5]Reliability!E155="Y"),"Y","N")</f>
        <v>#REF!</v>
      </c>
      <c r="G222" s="98" t="e">
        <f>IF(AND([5]Reliability!F158="Y",[5]Reliability!F155="Y"),"Y","N")</f>
        <v>#REF!</v>
      </c>
      <c r="H222" s="98" t="e">
        <f>IF(AND([5]Reliability!G158="Y",[5]Reliability!G155="Y"),"Y","N")</f>
        <v>#REF!</v>
      </c>
    </row>
    <row r="223" spans="1:8">
      <c r="A223" s="89">
        <v>38</v>
      </c>
      <c r="B223" s="90" t="s">
        <v>498</v>
      </c>
      <c r="C223" s="89" t="s">
        <v>459</v>
      </c>
      <c r="D223" s="98">
        <f>'Equity Related Information'!D205</f>
        <v>0</v>
      </c>
      <c r="E223" s="98" t="str">
        <f>'Equity Related Information'!E205</f>
        <v>NO</v>
      </c>
      <c r="F223" s="98" t="str">
        <f>'Equity Related Information'!F205</f>
        <v>NO</v>
      </c>
      <c r="G223" s="98" t="str">
        <f>'Equity Related Information'!G205</f>
        <v>NO</v>
      </c>
      <c r="H223" s="98" t="str">
        <f>'Equity Related Information'!H205</f>
        <v>NO</v>
      </c>
    </row>
  </sheetData>
  <mergeCells count="10">
    <mergeCell ref="A1:H1"/>
    <mergeCell ref="A2:E2"/>
    <mergeCell ref="A3:H3"/>
    <mergeCell ref="A51:E51"/>
    <mergeCell ref="A55:E55"/>
    <mergeCell ref="A67:E67"/>
    <mergeCell ref="A72:E72"/>
    <mergeCell ref="A77:E77"/>
    <mergeCell ref="A100:E100"/>
    <mergeCell ref="A124:E124"/>
  </mergeCells>
  <pageMargins left="0.7" right="0.7" top="0.75" bottom="0.75" header="0.51180555555555551" footer="0.51180555555555551"/>
  <pageSetup scale="62" firstPageNumber="0" orientation="portrait" horizontalDpi="300" verticalDpi="300"/>
  <headerFooter alignWithMargins="0"/>
  <rowBreaks count="4" manualBreakCount="4">
    <brk id="50" max="16383" man="1"/>
    <brk id="99" max="16383" man="1"/>
    <brk id="123" max="16383" man="1"/>
    <brk id="161" max="16383" man="1"/>
  </rowBreaks>
</worksheet>
</file>

<file path=xl/worksheets/sheet6.xml><?xml version="1.0" encoding="utf-8"?>
<worksheet xmlns="http://schemas.openxmlformats.org/spreadsheetml/2006/main" xmlns:r="http://schemas.openxmlformats.org/officeDocument/2006/relationships">
  <dimension ref="A1:IV186"/>
  <sheetViews>
    <sheetView topLeftCell="A109" workbookViewId="0">
      <selection activeCell="E133" sqref="E133"/>
    </sheetView>
  </sheetViews>
  <sheetFormatPr defaultRowHeight="15"/>
  <cols>
    <col min="1" max="1" width="5.7109375" style="20" bestFit="1" customWidth="1"/>
    <col min="2" max="2" width="77.85546875" style="20" bestFit="1" customWidth="1"/>
    <col min="3" max="3" width="9.140625" style="20" bestFit="1" customWidth="1"/>
    <col min="4" max="8" width="11.140625" style="20" bestFit="1" customWidth="1"/>
    <col min="9" max="256" width="9.140625" style="20" bestFit="1" customWidth="1"/>
    <col min="257" max="257" width="5.7109375" style="49" bestFit="1" customWidth="1"/>
    <col min="258" max="258" width="77.85546875" style="49" bestFit="1" customWidth="1"/>
    <col min="259" max="259" width="9.140625" style="49" bestFit="1" customWidth="1"/>
    <col min="260" max="264" width="11.140625" style="49" bestFit="1" customWidth="1"/>
    <col min="265" max="512" width="9.140625" style="49" bestFit="1" customWidth="1"/>
    <col min="513" max="513" width="5.7109375" style="49" bestFit="1" customWidth="1"/>
    <col min="514" max="514" width="77.85546875" style="49" bestFit="1" customWidth="1"/>
    <col min="515" max="515" width="9.140625" style="49" bestFit="1" customWidth="1"/>
    <col min="516" max="520" width="11.140625" style="49" bestFit="1" customWidth="1"/>
    <col min="521" max="768" width="9.140625" style="49" bestFit="1" customWidth="1"/>
    <col min="769" max="769" width="5.7109375" style="49" bestFit="1" customWidth="1"/>
    <col min="770" max="770" width="77.85546875" style="49" bestFit="1" customWidth="1"/>
    <col min="771" max="771" width="9.140625" style="49" bestFit="1" customWidth="1"/>
    <col min="772" max="776" width="11.140625" style="49" bestFit="1" customWidth="1"/>
    <col min="777" max="1024" width="9.140625" style="49" bestFit="1" customWidth="1"/>
    <col min="1025" max="1025" width="5.7109375" style="49" bestFit="1" customWidth="1"/>
    <col min="1026" max="1026" width="77.85546875" style="49" bestFit="1" customWidth="1"/>
    <col min="1027" max="1027" width="9.140625" style="49" bestFit="1" customWidth="1"/>
    <col min="1028" max="1032" width="11.140625" style="49" bestFit="1" customWidth="1"/>
    <col min="1033" max="1280" width="9.140625" style="49" bestFit="1" customWidth="1"/>
    <col min="1281" max="1281" width="5.7109375" style="49" bestFit="1" customWidth="1"/>
    <col min="1282" max="1282" width="77.85546875" style="49" bestFit="1" customWidth="1"/>
    <col min="1283" max="1283" width="9.140625" style="49" bestFit="1" customWidth="1"/>
    <col min="1284" max="1288" width="11.140625" style="49" bestFit="1" customWidth="1"/>
    <col min="1289" max="1536" width="9.140625" style="49" bestFit="1" customWidth="1"/>
    <col min="1537" max="1537" width="5.7109375" style="49" bestFit="1" customWidth="1"/>
    <col min="1538" max="1538" width="77.85546875" style="49" bestFit="1" customWidth="1"/>
    <col min="1539" max="1539" width="9.140625" style="49" bestFit="1" customWidth="1"/>
    <col min="1540" max="1544" width="11.140625" style="49" bestFit="1" customWidth="1"/>
    <col min="1545" max="1792" width="9.140625" style="49" bestFit="1" customWidth="1"/>
    <col min="1793" max="1793" width="5.7109375" style="49" bestFit="1" customWidth="1"/>
    <col min="1794" max="1794" width="77.85546875" style="49" bestFit="1" customWidth="1"/>
    <col min="1795" max="1795" width="9.140625" style="49" bestFit="1" customWidth="1"/>
    <col min="1796" max="1800" width="11.140625" style="49" bestFit="1" customWidth="1"/>
    <col min="1801" max="2048" width="9.140625" style="49" bestFit="1" customWidth="1"/>
    <col min="2049" max="2049" width="5.7109375" style="49" bestFit="1" customWidth="1"/>
    <col min="2050" max="2050" width="77.85546875" style="49" bestFit="1" customWidth="1"/>
    <col min="2051" max="2051" width="9.140625" style="49" bestFit="1" customWidth="1"/>
    <col min="2052" max="2056" width="11.140625" style="49" bestFit="1" customWidth="1"/>
    <col min="2057" max="2304" width="9.140625" style="49" bestFit="1" customWidth="1"/>
    <col min="2305" max="2305" width="5.7109375" style="49" bestFit="1" customWidth="1"/>
    <col min="2306" max="2306" width="77.85546875" style="49" bestFit="1" customWidth="1"/>
    <col min="2307" max="2307" width="9.140625" style="49" bestFit="1" customWidth="1"/>
    <col min="2308" max="2312" width="11.140625" style="49" bestFit="1" customWidth="1"/>
    <col min="2313" max="2560" width="9.140625" style="49" bestFit="1" customWidth="1"/>
    <col min="2561" max="2561" width="5.7109375" style="49" bestFit="1" customWidth="1"/>
    <col min="2562" max="2562" width="77.85546875" style="49" bestFit="1" customWidth="1"/>
    <col min="2563" max="2563" width="9.140625" style="49" bestFit="1" customWidth="1"/>
    <col min="2564" max="2568" width="11.140625" style="49" bestFit="1" customWidth="1"/>
    <col min="2569" max="2816" width="9.140625" style="49" bestFit="1" customWidth="1"/>
    <col min="2817" max="2817" width="5.7109375" style="49" bestFit="1" customWidth="1"/>
    <col min="2818" max="2818" width="77.85546875" style="49" bestFit="1" customWidth="1"/>
    <col min="2819" max="2819" width="9.140625" style="49" bestFit="1" customWidth="1"/>
    <col min="2820" max="2824" width="11.140625" style="49" bestFit="1" customWidth="1"/>
    <col min="2825" max="3072" width="9.140625" style="49" bestFit="1" customWidth="1"/>
    <col min="3073" max="3073" width="5.7109375" style="49" bestFit="1" customWidth="1"/>
    <col min="3074" max="3074" width="77.85546875" style="49" bestFit="1" customWidth="1"/>
    <col min="3075" max="3075" width="9.140625" style="49" bestFit="1" customWidth="1"/>
    <col min="3076" max="3080" width="11.140625" style="49" bestFit="1" customWidth="1"/>
    <col min="3081" max="3328" width="9.140625" style="49" bestFit="1" customWidth="1"/>
    <col min="3329" max="3329" width="5.7109375" style="49" bestFit="1" customWidth="1"/>
    <col min="3330" max="3330" width="77.85546875" style="49" bestFit="1" customWidth="1"/>
    <col min="3331" max="3331" width="9.140625" style="49" bestFit="1" customWidth="1"/>
    <col min="3332" max="3336" width="11.140625" style="49" bestFit="1" customWidth="1"/>
    <col min="3337" max="3584" width="9.140625" style="49" bestFit="1" customWidth="1"/>
    <col min="3585" max="3585" width="5.7109375" style="49" bestFit="1" customWidth="1"/>
    <col min="3586" max="3586" width="77.85546875" style="49" bestFit="1" customWidth="1"/>
    <col min="3587" max="3587" width="9.140625" style="49" bestFit="1" customWidth="1"/>
    <col min="3588" max="3592" width="11.140625" style="49" bestFit="1" customWidth="1"/>
    <col min="3593" max="3840" width="9.140625" style="49" bestFit="1" customWidth="1"/>
    <col min="3841" max="3841" width="5.7109375" style="49" bestFit="1" customWidth="1"/>
    <col min="3842" max="3842" width="77.85546875" style="49" bestFit="1" customWidth="1"/>
    <col min="3843" max="3843" width="9.140625" style="49" bestFit="1" customWidth="1"/>
    <col min="3844" max="3848" width="11.140625" style="49" bestFit="1" customWidth="1"/>
    <col min="3849" max="4096" width="9.140625" style="49" bestFit="1" customWidth="1"/>
    <col min="4097" max="4097" width="5.7109375" style="49" bestFit="1" customWidth="1"/>
    <col min="4098" max="4098" width="77.85546875" style="49" bestFit="1" customWidth="1"/>
    <col min="4099" max="4099" width="9.140625" style="49" bestFit="1" customWidth="1"/>
    <col min="4100" max="4104" width="11.140625" style="49" bestFit="1" customWidth="1"/>
    <col min="4105" max="4352" width="9.140625" style="49" bestFit="1" customWidth="1"/>
    <col min="4353" max="4353" width="5.7109375" style="49" bestFit="1" customWidth="1"/>
    <col min="4354" max="4354" width="77.85546875" style="49" bestFit="1" customWidth="1"/>
    <col min="4355" max="4355" width="9.140625" style="49" bestFit="1" customWidth="1"/>
    <col min="4356" max="4360" width="11.140625" style="49" bestFit="1" customWidth="1"/>
    <col min="4361" max="4608" width="9.140625" style="49" bestFit="1" customWidth="1"/>
    <col min="4609" max="4609" width="5.7109375" style="49" bestFit="1" customWidth="1"/>
    <col min="4610" max="4610" width="77.85546875" style="49" bestFit="1" customWidth="1"/>
    <col min="4611" max="4611" width="9.140625" style="49" bestFit="1" customWidth="1"/>
    <col min="4612" max="4616" width="11.140625" style="49" bestFit="1" customWidth="1"/>
    <col min="4617" max="4864" width="9.140625" style="49" bestFit="1" customWidth="1"/>
    <col min="4865" max="4865" width="5.7109375" style="49" bestFit="1" customWidth="1"/>
    <col min="4866" max="4866" width="77.85546875" style="49" bestFit="1" customWidth="1"/>
    <col min="4867" max="4867" width="9.140625" style="49" bestFit="1" customWidth="1"/>
    <col min="4868" max="4872" width="11.140625" style="49" bestFit="1" customWidth="1"/>
    <col min="4873" max="5120" width="9.140625" style="49" bestFit="1" customWidth="1"/>
    <col min="5121" max="5121" width="5.7109375" style="49" bestFit="1" customWidth="1"/>
    <col min="5122" max="5122" width="77.85546875" style="49" bestFit="1" customWidth="1"/>
    <col min="5123" max="5123" width="9.140625" style="49" bestFit="1" customWidth="1"/>
    <col min="5124" max="5128" width="11.140625" style="49" bestFit="1" customWidth="1"/>
    <col min="5129" max="5376" width="9.140625" style="49" bestFit="1" customWidth="1"/>
    <col min="5377" max="5377" width="5.7109375" style="49" bestFit="1" customWidth="1"/>
    <col min="5378" max="5378" width="77.85546875" style="49" bestFit="1" customWidth="1"/>
    <col min="5379" max="5379" width="9.140625" style="49" bestFit="1" customWidth="1"/>
    <col min="5380" max="5384" width="11.140625" style="49" bestFit="1" customWidth="1"/>
    <col min="5385" max="5632" width="9.140625" style="49" bestFit="1" customWidth="1"/>
    <col min="5633" max="5633" width="5.7109375" style="49" bestFit="1" customWidth="1"/>
    <col min="5634" max="5634" width="77.85546875" style="49" bestFit="1" customWidth="1"/>
    <col min="5635" max="5635" width="9.140625" style="49" bestFit="1" customWidth="1"/>
    <col min="5636" max="5640" width="11.140625" style="49" bestFit="1" customWidth="1"/>
    <col min="5641" max="5888" width="9.140625" style="49" bestFit="1" customWidth="1"/>
    <col min="5889" max="5889" width="5.7109375" style="49" bestFit="1" customWidth="1"/>
    <col min="5890" max="5890" width="77.85546875" style="49" bestFit="1" customWidth="1"/>
    <col min="5891" max="5891" width="9.140625" style="49" bestFit="1" customWidth="1"/>
    <col min="5892" max="5896" width="11.140625" style="49" bestFit="1" customWidth="1"/>
    <col min="5897" max="6144" width="9.140625" style="49" bestFit="1" customWidth="1"/>
    <col min="6145" max="6145" width="5.7109375" style="49" bestFit="1" customWidth="1"/>
    <col min="6146" max="6146" width="77.85546875" style="49" bestFit="1" customWidth="1"/>
    <col min="6147" max="6147" width="9.140625" style="49" bestFit="1" customWidth="1"/>
    <col min="6148" max="6152" width="11.140625" style="49" bestFit="1" customWidth="1"/>
    <col min="6153" max="6400" width="9.140625" style="49" bestFit="1" customWidth="1"/>
    <col min="6401" max="6401" width="5.7109375" style="49" bestFit="1" customWidth="1"/>
    <col min="6402" max="6402" width="77.85546875" style="49" bestFit="1" customWidth="1"/>
    <col min="6403" max="6403" width="9.140625" style="49" bestFit="1" customWidth="1"/>
    <col min="6404" max="6408" width="11.140625" style="49" bestFit="1" customWidth="1"/>
    <col min="6409" max="6656" width="9.140625" style="49" bestFit="1" customWidth="1"/>
    <col min="6657" max="6657" width="5.7109375" style="49" bestFit="1" customWidth="1"/>
    <col min="6658" max="6658" width="77.85546875" style="49" bestFit="1" customWidth="1"/>
    <col min="6659" max="6659" width="9.140625" style="49" bestFit="1" customWidth="1"/>
    <col min="6660" max="6664" width="11.140625" style="49" bestFit="1" customWidth="1"/>
    <col min="6665" max="6912" width="9.140625" style="49" bestFit="1" customWidth="1"/>
    <col min="6913" max="6913" width="5.7109375" style="49" bestFit="1" customWidth="1"/>
    <col min="6914" max="6914" width="77.85546875" style="49" bestFit="1" customWidth="1"/>
    <col min="6915" max="6915" width="9.140625" style="49" bestFit="1" customWidth="1"/>
    <col min="6916" max="6920" width="11.140625" style="49" bestFit="1" customWidth="1"/>
    <col min="6921" max="7168" width="9.140625" style="49" bestFit="1" customWidth="1"/>
    <col min="7169" max="7169" width="5.7109375" style="49" bestFit="1" customWidth="1"/>
    <col min="7170" max="7170" width="77.85546875" style="49" bestFit="1" customWidth="1"/>
    <col min="7171" max="7171" width="9.140625" style="49" bestFit="1" customWidth="1"/>
    <col min="7172" max="7176" width="11.140625" style="49" bestFit="1" customWidth="1"/>
    <col min="7177" max="7424" width="9.140625" style="49" bestFit="1" customWidth="1"/>
    <col min="7425" max="7425" width="5.7109375" style="49" bestFit="1" customWidth="1"/>
    <col min="7426" max="7426" width="77.85546875" style="49" bestFit="1" customWidth="1"/>
    <col min="7427" max="7427" width="9.140625" style="49" bestFit="1" customWidth="1"/>
    <col min="7428" max="7432" width="11.140625" style="49" bestFit="1" customWidth="1"/>
    <col min="7433" max="7680" width="9.140625" style="49" bestFit="1" customWidth="1"/>
    <col min="7681" max="7681" width="5.7109375" style="49" bestFit="1" customWidth="1"/>
    <col min="7682" max="7682" width="77.85546875" style="49" bestFit="1" customWidth="1"/>
    <col min="7683" max="7683" width="9.140625" style="49" bestFit="1" customWidth="1"/>
    <col min="7684" max="7688" width="11.140625" style="49" bestFit="1" customWidth="1"/>
    <col min="7689" max="7936" width="9.140625" style="49" bestFit="1" customWidth="1"/>
    <col min="7937" max="7937" width="5.7109375" style="49" bestFit="1" customWidth="1"/>
    <col min="7938" max="7938" width="77.85546875" style="49" bestFit="1" customWidth="1"/>
    <col min="7939" max="7939" width="9.140625" style="49" bestFit="1" customWidth="1"/>
    <col min="7940" max="7944" width="11.140625" style="49" bestFit="1" customWidth="1"/>
    <col min="7945" max="8192" width="9.140625" style="49" bestFit="1" customWidth="1"/>
    <col min="8193" max="8193" width="5.7109375" style="49" bestFit="1" customWidth="1"/>
    <col min="8194" max="8194" width="77.85546875" style="49" bestFit="1" customWidth="1"/>
    <col min="8195" max="8195" width="9.140625" style="49" bestFit="1" customWidth="1"/>
    <col min="8196" max="8200" width="11.140625" style="49" bestFit="1" customWidth="1"/>
    <col min="8201" max="8448" width="9.140625" style="49" bestFit="1" customWidth="1"/>
    <col min="8449" max="8449" width="5.7109375" style="49" bestFit="1" customWidth="1"/>
    <col min="8450" max="8450" width="77.85546875" style="49" bestFit="1" customWidth="1"/>
    <col min="8451" max="8451" width="9.140625" style="49" bestFit="1" customWidth="1"/>
    <col min="8452" max="8456" width="11.140625" style="49" bestFit="1" customWidth="1"/>
    <col min="8457" max="8704" width="9.140625" style="49" bestFit="1" customWidth="1"/>
    <col min="8705" max="8705" width="5.7109375" style="49" bestFit="1" customWidth="1"/>
    <col min="8706" max="8706" width="77.85546875" style="49" bestFit="1" customWidth="1"/>
    <col min="8707" max="8707" width="9.140625" style="49" bestFit="1" customWidth="1"/>
    <col min="8708" max="8712" width="11.140625" style="49" bestFit="1" customWidth="1"/>
    <col min="8713" max="8960" width="9.140625" style="49" bestFit="1" customWidth="1"/>
    <col min="8961" max="8961" width="5.7109375" style="49" bestFit="1" customWidth="1"/>
    <col min="8962" max="8962" width="77.85546875" style="49" bestFit="1" customWidth="1"/>
    <col min="8963" max="8963" width="9.140625" style="49" bestFit="1" customWidth="1"/>
    <col min="8964" max="8968" width="11.140625" style="49" bestFit="1" customWidth="1"/>
    <col min="8969" max="9216" width="9.140625" style="49" bestFit="1" customWidth="1"/>
    <col min="9217" max="9217" width="5.7109375" style="49" bestFit="1" customWidth="1"/>
    <col min="9218" max="9218" width="77.85546875" style="49" bestFit="1" customWidth="1"/>
    <col min="9219" max="9219" width="9.140625" style="49" bestFit="1" customWidth="1"/>
    <col min="9220" max="9224" width="11.140625" style="49" bestFit="1" customWidth="1"/>
    <col min="9225" max="9472" width="9.140625" style="49" bestFit="1" customWidth="1"/>
    <col min="9473" max="9473" width="5.7109375" style="49" bestFit="1" customWidth="1"/>
    <col min="9474" max="9474" width="77.85546875" style="49" bestFit="1" customWidth="1"/>
    <col min="9475" max="9475" width="9.140625" style="49" bestFit="1" customWidth="1"/>
    <col min="9476" max="9480" width="11.140625" style="49" bestFit="1" customWidth="1"/>
    <col min="9481" max="9728" width="9.140625" style="49" bestFit="1" customWidth="1"/>
    <col min="9729" max="9729" width="5.7109375" style="49" bestFit="1" customWidth="1"/>
    <col min="9730" max="9730" width="77.85546875" style="49" bestFit="1" customWidth="1"/>
    <col min="9731" max="9731" width="9.140625" style="49" bestFit="1" customWidth="1"/>
    <col min="9732" max="9736" width="11.140625" style="49" bestFit="1" customWidth="1"/>
    <col min="9737" max="9984" width="9.140625" style="49" bestFit="1" customWidth="1"/>
    <col min="9985" max="9985" width="5.7109375" style="49" bestFit="1" customWidth="1"/>
    <col min="9986" max="9986" width="77.85546875" style="49" bestFit="1" customWidth="1"/>
    <col min="9987" max="9987" width="9.140625" style="49" bestFit="1" customWidth="1"/>
    <col min="9988" max="9992" width="11.140625" style="49" bestFit="1" customWidth="1"/>
    <col min="9993" max="10240" width="9.140625" style="49" bestFit="1" customWidth="1"/>
    <col min="10241" max="10241" width="5.7109375" style="49" bestFit="1" customWidth="1"/>
    <col min="10242" max="10242" width="77.85546875" style="49" bestFit="1" customWidth="1"/>
    <col min="10243" max="10243" width="9.140625" style="49" bestFit="1" customWidth="1"/>
    <col min="10244" max="10248" width="11.140625" style="49" bestFit="1" customWidth="1"/>
    <col min="10249" max="10496" width="9.140625" style="49" bestFit="1" customWidth="1"/>
    <col min="10497" max="10497" width="5.7109375" style="49" bestFit="1" customWidth="1"/>
    <col min="10498" max="10498" width="77.85546875" style="49" bestFit="1" customWidth="1"/>
    <col min="10499" max="10499" width="9.140625" style="49" bestFit="1" customWidth="1"/>
    <col min="10500" max="10504" width="11.140625" style="49" bestFit="1" customWidth="1"/>
    <col min="10505" max="10752" width="9.140625" style="49" bestFit="1" customWidth="1"/>
    <col min="10753" max="10753" width="5.7109375" style="49" bestFit="1" customWidth="1"/>
    <col min="10754" max="10754" width="77.85546875" style="49" bestFit="1" customWidth="1"/>
    <col min="10755" max="10755" width="9.140625" style="49" bestFit="1" customWidth="1"/>
    <col min="10756" max="10760" width="11.140625" style="49" bestFit="1" customWidth="1"/>
    <col min="10761" max="11008" width="9.140625" style="49" bestFit="1" customWidth="1"/>
    <col min="11009" max="11009" width="5.7109375" style="49" bestFit="1" customWidth="1"/>
    <col min="11010" max="11010" width="77.85546875" style="49" bestFit="1" customWidth="1"/>
    <col min="11011" max="11011" width="9.140625" style="49" bestFit="1" customWidth="1"/>
    <col min="11012" max="11016" width="11.140625" style="49" bestFit="1" customWidth="1"/>
    <col min="11017" max="11264" width="9.140625" style="49" bestFit="1" customWidth="1"/>
    <col min="11265" max="11265" width="5.7109375" style="49" bestFit="1" customWidth="1"/>
    <col min="11266" max="11266" width="77.85546875" style="49" bestFit="1" customWidth="1"/>
    <col min="11267" max="11267" width="9.140625" style="49" bestFit="1" customWidth="1"/>
    <col min="11268" max="11272" width="11.140625" style="49" bestFit="1" customWidth="1"/>
    <col min="11273" max="11520" width="9.140625" style="49" bestFit="1" customWidth="1"/>
    <col min="11521" max="11521" width="5.7109375" style="49" bestFit="1" customWidth="1"/>
    <col min="11522" max="11522" width="77.85546875" style="49" bestFit="1" customWidth="1"/>
    <col min="11523" max="11523" width="9.140625" style="49" bestFit="1" customWidth="1"/>
    <col min="11524" max="11528" width="11.140625" style="49" bestFit="1" customWidth="1"/>
    <col min="11529" max="11776" width="9.140625" style="49" bestFit="1" customWidth="1"/>
    <col min="11777" max="11777" width="5.7109375" style="49" bestFit="1" customWidth="1"/>
    <col min="11778" max="11778" width="77.85546875" style="49" bestFit="1" customWidth="1"/>
    <col min="11779" max="11779" width="9.140625" style="49" bestFit="1" customWidth="1"/>
    <col min="11780" max="11784" width="11.140625" style="49" bestFit="1" customWidth="1"/>
    <col min="11785" max="12032" width="9.140625" style="49" bestFit="1" customWidth="1"/>
    <col min="12033" max="12033" width="5.7109375" style="49" bestFit="1" customWidth="1"/>
    <col min="12034" max="12034" width="77.85546875" style="49" bestFit="1" customWidth="1"/>
    <col min="12035" max="12035" width="9.140625" style="49" bestFit="1" customWidth="1"/>
    <col min="12036" max="12040" width="11.140625" style="49" bestFit="1" customWidth="1"/>
    <col min="12041" max="12288" width="9.140625" style="49" bestFit="1" customWidth="1"/>
    <col min="12289" max="12289" width="5.7109375" style="49" bestFit="1" customWidth="1"/>
    <col min="12290" max="12290" width="77.85546875" style="49" bestFit="1" customWidth="1"/>
    <col min="12291" max="12291" width="9.140625" style="49" bestFit="1" customWidth="1"/>
    <col min="12292" max="12296" width="11.140625" style="49" bestFit="1" customWidth="1"/>
    <col min="12297" max="12544" width="9.140625" style="49" bestFit="1" customWidth="1"/>
    <col min="12545" max="12545" width="5.7109375" style="49" bestFit="1" customWidth="1"/>
    <col min="12546" max="12546" width="77.85546875" style="49" bestFit="1" customWidth="1"/>
    <col min="12547" max="12547" width="9.140625" style="49" bestFit="1" customWidth="1"/>
    <col min="12548" max="12552" width="11.140625" style="49" bestFit="1" customWidth="1"/>
    <col min="12553" max="12800" width="9.140625" style="49" bestFit="1" customWidth="1"/>
    <col min="12801" max="12801" width="5.7109375" style="49" bestFit="1" customWidth="1"/>
    <col min="12802" max="12802" width="77.85546875" style="49" bestFit="1" customWidth="1"/>
    <col min="12803" max="12803" width="9.140625" style="49" bestFit="1" customWidth="1"/>
    <col min="12804" max="12808" width="11.140625" style="49" bestFit="1" customWidth="1"/>
    <col min="12809" max="13056" width="9.140625" style="49" bestFit="1" customWidth="1"/>
    <col min="13057" max="13057" width="5.7109375" style="49" bestFit="1" customWidth="1"/>
    <col min="13058" max="13058" width="77.85546875" style="49" bestFit="1" customWidth="1"/>
    <col min="13059" max="13059" width="9.140625" style="49" bestFit="1" customWidth="1"/>
    <col min="13060" max="13064" width="11.140625" style="49" bestFit="1" customWidth="1"/>
    <col min="13065" max="13312" width="9.140625" style="49" bestFit="1" customWidth="1"/>
    <col min="13313" max="13313" width="5.7109375" style="49" bestFit="1" customWidth="1"/>
    <col min="13314" max="13314" width="77.85546875" style="49" bestFit="1" customWidth="1"/>
    <col min="13315" max="13315" width="9.140625" style="49" bestFit="1" customWidth="1"/>
    <col min="13316" max="13320" width="11.140625" style="49" bestFit="1" customWidth="1"/>
    <col min="13321" max="13568" width="9.140625" style="49" bestFit="1" customWidth="1"/>
    <col min="13569" max="13569" width="5.7109375" style="49" bestFit="1" customWidth="1"/>
    <col min="13570" max="13570" width="77.85546875" style="49" bestFit="1" customWidth="1"/>
    <col min="13571" max="13571" width="9.140625" style="49" bestFit="1" customWidth="1"/>
    <col min="13572" max="13576" width="11.140625" style="49" bestFit="1" customWidth="1"/>
    <col min="13577" max="13824" width="9.140625" style="49" bestFit="1" customWidth="1"/>
    <col min="13825" max="13825" width="5.7109375" style="49" bestFit="1" customWidth="1"/>
    <col min="13826" max="13826" width="77.85546875" style="49" bestFit="1" customWidth="1"/>
    <col min="13827" max="13827" width="9.140625" style="49" bestFit="1" customWidth="1"/>
    <col min="13828" max="13832" width="11.140625" style="49" bestFit="1" customWidth="1"/>
    <col min="13833" max="14080" width="9.140625" style="49" bestFit="1" customWidth="1"/>
    <col min="14081" max="14081" width="5.7109375" style="49" bestFit="1" customWidth="1"/>
    <col min="14082" max="14082" width="77.85546875" style="49" bestFit="1" customWidth="1"/>
    <col min="14083" max="14083" width="9.140625" style="49" bestFit="1" customWidth="1"/>
    <col min="14084" max="14088" width="11.140625" style="49" bestFit="1" customWidth="1"/>
    <col min="14089" max="14336" width="9.140625" style="49" bestFit="1" customWidth="1"/>
    <col min="14337" max="14337" width="5.7109375" style="49" bestFit="1" customWidth="1"/>
    <col min="14338" max="14338" width="77.85546875" style="49" bestFit="1" customWidth="1"/>
    <col min="14339" max="14339" width="9.140625" style="49" bestFit="1" customWidth="1"/>
    <col min="14340" max="14344" width="11.140625" style="49" bestFit="1" customWidth="1"/>
    <col min="14345" max="14592" width="9.140625" style="49" bestFit="1" customWidth="1"/>
    <col min="14593" max="14593" width="5.7109375" style="49" bestFit="1" customWidth="1"/>
    <col min="14594" max="14594" width="77.85546875" style="49" bestFit="1" customWidth="1"/>
    <col min="14595" max="14595" width="9.140625" style="49" bestFit="1" customWidth="1"/>
    <col min="14596" max="14600" width="11.140625" style="49" bestFit="1" customWidth="1"/>
    <col min="14601" max="14848" width="9.140625" style="49" bestFit="1" customWidth="1"/>
    <col min="14849" max="14849" width="5.7109375" style="49" bestFit="1" customWidth="1"/>
    <col min="14850" max="14850" width="77.85546875" style="49" bestFit="1" customWidth="1"/>
    <col min="14851" max="14851" width="9.140625" style="49" bestFit="1" customWidth="1"/>
    <col min="14852" max="14856" width="11.140625" style="49" bestFit="1" customWidth="1"/>
    <col min="14857" max="15104" width="9.140625" style="49" bestFit="1" customWidth="1"/>
    <col min="15105" max="15105" width="5.7109375" style="49" bestFit="1" customWidth="1"/>
    <col min="15106" max="15106" width="77.85546875" style="49" bestFit="1" customWidth="1"/>
    <col min="15107" max="15107" width="9.140625" style="49" bestFit="1" customWidth="1"/>
    <col min="15108" max="15112" width="11.140625" style="49" bestFit="1" customWidth="1"/>
    <col min="15113" max="15360" width="9.140625" style="49" bestFit="1" customWidth="1"/>
    <col min="15361" max="15361" width="5.7109375" style="49" bestFit="1" customWidth="1"/>
    <col min="15362" max="15362" width="77.85546875" style="49" bestFit="1" customWidth="1"/>
    <col min="15363" max="15363" width="9.140625" style="49" bestFit="1" customWidth="1"/>
    <col min="15364" max="15368" width="11.140625" style="49" bestFit="1" customWidth="1"/>
    <col min="15369" max="15616" width="9.140625" style="49" bestFit="1" customWidth="1"/>
    <col min="15617" max="15617" width="5.7109375" style="49" bestFit="1" customWidth="1"/>
    <col min="15618" max="15618" width="77.85546875" style="49" bestFit="1" customWidth="1"/>
    <col min="15619" max="15619" width="9.140625" style="49" bestFit="1" customWidth="1"/>
    <col min="15620" max="15624" width="11.140625" style="49" bestFit="1" customWidth="1"/>
    <col min="15625" max="15872" width="9.140625" style="49" bestFit="1" customWidth="1"/>
    <col min="15873" max="15873" width="5.7109375" style="49" bestFit="1" customWidth="1"/>
    <col min="15874" max="15874" width="77.85546875" style="49" bestFit="1" customWidth="1"/>
    <col min="15875" max="15875" width="9.140625" style="49" bestFit="1" customWidth="1"/>
    <col min="15876" max="15880" width="11.140625" style="49" bestFit="1" customWidth="1"/>
    <col min="15881" max="16128" width="9.140625" style="49" bestFit="1" customWidth="1"/>
    <col min="16129" max="16129" width="5.7109375" style="49" bestFit="1" customWidth="1"/>
    <col min="16130" max="16130" width="77.85546875" style="49" bestFit="1" customWidth="1"/>
    <col min="16131" max="16131" width="9.140625" style="49" bestFit="1" customWidth="1"/>
    <col min="16132" max="16136" width="11.140625" style="49" bestFit="1" customWidth="1"/>
    <col min="16137" max="16384" width="9.140625" style="49" bestFit="1" customWidth="1"/>
  </cols>
  <sheetData>
    <row r="1" spans="1:256" ht="15.75">
      <c r="A1" s="836" t="s">
        <v>254</v>
      </c>
      <c r="B1" s="836"/>
      <c r="C1" s="836"/>
      <c r="D1" s="836"/>
      <c r="E1" s="836"/>
      <c r="F1" s="836"/>
      <c r="G1" s="836"/>
      <c r="H1" s="836"/>
    </row>
    <row r="2" spans="1:256" ht="15.75">
      <c r="A2" s="836"/>
      <c r="B2" s="836"/>
      <c r="C2" s="836"/>
      <c r="D2" s="836"/>
      <c r="E2" s="836"/>
      <c r="F2" s="50"/>
      <c r="G2" s="50"/>
      <c r="H2" s="50"/>
    </row>
    <row r="3" spans="1:256" ht="15.75">
      <c r="A3" s="837" t="s">
        <v>499</v>
      </c>
      <c r="B3" s="837"/>
      <c r="C3" s="837"/>
      <c r="D3" s="837"/>
      <c r="E3" s="837"/>
      <c r="F3" s="837"/>
      <c r="G3" s="837"/>
      <c r="H3" s="837"/>
    </row>
    <row r="4" spans="1:256">
      <c r="A4" s="22" t="s">
        <v>256</v>
      </c>
      <c r="B4" s="22" t="s">
        <v>257</v>
      </c>
      <c r="C4" s="51" t="s">
        <v>258</v>
      </c>
      <c r="D4" s="290" t="str">
        <f>'General Info'!D4</f>
        <v>FY 2008-2009</v>
      </c>
      <c r="E4" s="290" t="str">
        <f>'General Info'!E4</f>
        <v>FY 2009-2010</v>
      </c>
      <c r="F4" s="290" t="str">
        <f>'General Info'!F4</f>
        <v>FY 2010-2011</v>
      </c>
      <c r="G4" s="290" t="str">
        <f>'General Info'!G4</f>
        <v>FY 2011-2012</v>
      </c>
      <c r="H4" s="290" t="str">
        <f>'General Info'!H4</f>
        <v>FY 2012-2013</v>
      </c>
    </row>
    <row r="5" spans="1:256">
      <c r="A5" s="72"/>
      <c r="B5" s="72" t="s">
        <v>500</v>
      </c>
      <c r="C5" s="100" t="s">
        <v>268</v>
      </c>
      <c r="D5" s="71">
        <f>IF(OR(D10="nd",D7="nd"),"nd",D10*100/D7)</f>
        <v>0</v>
      </c>
      <c r="E5" s="71">
        <f>IF(OR(E10="nd",E7="nd"),"nd",E10*100/E7)</f>
        <v>98.647298439781721</v>
      </c>
      <c r="F5" s="71">
        <f>IF(OR(F10="nd",F7="nd"),"nd",F10*100/F7)</f>
        <v>98.684800478254374</v>
      </c>
      <c r="G5" s="71">
        <f>IF(OR(G10="nd",G7="nd"),"nd",G10*100/G7)</f>
        <v>90.809313037532831</v>
      </c>
      <c r="H5" s="71">
        <f>IF(OR(H10="nd",H7="nd"),"nd",H10*100/H7)</f>
        <v>90.402802101576185</v>
      </c>
    </row>
    <row r="6" spans="1:256">
      <c r="A6" s="101"/>
      <c r="B6" s="101" t="s">
        <v>501</v>
      </c>
      <c r="C6" s="101"/>
      <c r="D6" s="101"/>
      <c r="E6" s="101"/>
      <c r="F6" s="101"/>
      <c r="G6" s="101"/>
      <c r="H6" s="101"/>
    </row>
    <row r="7" spans="1:256" s="285" customFormat="1" ht="15.75" thickBot="1">
      <c r="A7" s="281">
        <v>1</v>
      </c>
      <c r="B7" s="282" t="s">
        <v>33</v>
      </c>
      <c r="C7" s="268" t="s">
        <v>271</v>
      </c>
      <c r="D7" s="291">
        <f>'General Info'!D18</f>
        <v>17362</v>
      </c>
      <c r="E7" s="291">
        <f>'General Info'!E18</f>
        <v>26022</v>
      </c>
      <c r="F7" s="291">
        <f>'General Info'!F18</f>
        <v>26764</v>
      </c>
      <c r="G7" s="291">
        <f>'General Info'!G18</f>
        <v>27789</v>
      </c>
      <c r="H7" s="291">
        <f>'General Info'!H18</f>
        <v>28550</v>
      </c>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284"/>
      <c r="AZ7" s="284"/>
      <c r="BA7" s="284"/>
      <c r="BB7" s="284"/>
      <c r="BC7" s="284"/>
      <c r="BD7" s="284"/>
      <c r="BE7" s="284"/>
      <c r="BF7" s="284"/>
      <c r="BG7" s="284"/>
      <c r="BH7" s="284"/>
      <c r="BI7" s="284"/>
      <c r="BJ7" s="284"/>
      <c r="BK7" s="284"/>
      <c r="BL7" s="284"/>
      <c r="BM7" s="284"/>
      <c r="BN7" s="284"/>
      <c r="BO7" s="284"/>
      <c r="BP7" s="284"/>
      <c r="BQ7" s="284"/>
      <c r="BR7" s="284"/>
      <c r="BS7" s="284"/>
      <c r="BT7" s="284"/>
      <c r="BU7" s="284"/>
      <c r="BV7" s="284"/>
      <c r="BW7" s="284"/>
      <c r="BX7" s="284"/>
      <c r="BY7" s="284"/>
      <c r="BZ7" s="284"/>
      <c r="CA7" s="284"/>
      <c r="CB7" s="284"/>
      <c r="CC7" s="284"/>
      <c r="CD7" s="284"/>
      <c r="CE7" s="284"/>
      <c r="CF7" s="284"/>
      <c r="CG7" s="284"/>
      <c r="CH7" s="284"/>
      <c r="CI7" s="284"/>
      <c r="CJ7" s="284"/>
      <c r="CK7" s="284"/>
      <c r="CL7" s="284"/>
      <c r="CM7" s="284"/>
      <c r="CN7" s="284"/>
      <c r="CO7" s="284"/>
      <c r="CP7" s="284"/>
      <c r="CQ7" s="284"/>
      <c r="CR7" s="284"/>
      <c r="CS7" s="284"/>
      <c r="CT7" s="284"/>
      <c r="CU7" s="284"/>
      <c r="CV7" s="284"/>
      <c r="CW7" s="284"/>
      <c r="CX7" s="284"/>
      <c r="CY7" s="284"/>
      <c r="CZ7" s="284"/>
      <c r="DA7" s="284"/>
      <c r="DB7" s="284"/>
      <c r="DC7" s="284"/>
      <c r="DD7" s="284"/>
      <c r="DE7" s="284"/>
      <c r="DF7" s="284"/>
      <c r="DG7" s="284"/>
      <c r="DH7" s="284"/>
      <c r="DI7" s="284"/>
      <c r="DJ7" s="284"/>
      <c r="DK7" s="284"/>
      <c r="DL7" s="284"/>
      <c r="DM7" s="284"/>
      <c r="DN7" s="284"/>
      <c r="DO7" s="284"/>
      <c r="DP7" s="284"/>
      <c r="DQ7" s="284"/>
      <c r="DR7" s="284"/>
      <c r="DS7" s="284"/>
      <c r="DT7" s="284"/>
      <c r="DU7" s="284"/>
      <c r="DV7" s="284"/>
      <c r="DW7" s="284"/>
      <c r="DX7" s="284"/>
      <c r="DY7" s="284"/>
      <c r="DZ7" s="284"/>
      <c r="EA7" s="284"/>
      <c r="EB7" s="284"/>
      <c r="EC7" s="284"/>
      <c r="ED7" s="284"/>
      <c r="EE7" s="284"/>
      <c r="EF7" s="284"/>
      <c r="EG7" s="284"/>
      <c r="EH7" s="284"/>
      <c r="EI7" s="284"/>
      <c r="EJ7" s="284"/>
      <c r="EK7" s="284"/>
      <c r="EL7" s="284"/>
      <c r="EM7" s="284"/>
      <c r="EN7" s="284"/>
      <c r="EO7" s="284"/>
      <c r="EP7" s="284"/>
      <c r="EQ7" s="284"/>
      <c r="ER7" s="284"/>
      <c r="ES7" s="284"/>
      <c r="ET7" s="284"/>
      <c r="EU7" s="284"/>
      <c r="EV7" s="284"/>
      <c r="EW7" s="284"/>
      <c r="EX7" s="284"/>
      <c r="EY7" s="284"/>
      <c r="EZ7" s="284"/>
      <c r="FA7" s="284"/>
      <c r="FB7" s="284"/>
      <c r="FC7" s="284"/>
      <c r="FD7" s="284"/>
      <c r="FE7" s="284"/>
      <c r="FF7" s="284"/>
      <c r="FG7" s="284"/>
      <c r="FH7" s="284"/>
      <c r="FI7" s="284"/>
      <c r="FJ7" s="284"/>
      <c r="FK7" s="284"/>
      <c r="FL7" s="284"/>
      <c r="FM7" s="284"/>
      <c r="FN7" s="284"/>
      <c r="FO7" s="284"/>
      <c r="FP7" s="284"/>
      <c r="FQ7" s="284"/>
      <c r="FR7" s="284"/>
      <c r="FS7" s="284"/>
      <c r="FT7" s="284"/>
      <c r="FU7" s="284"/>
      <c r="FV7" s="284"/>
      <c r="FW7" s="284"/>
      <c r="FX7" s="284"/>
      <c r="FY7" s="284"/>
      <c r="FZ7" s="284"/>
      <c r="GA7" s="284"/>
      <c r="GB7" s="284"/>
      <c r="GC7" s="284"/>
      <c r="GD7" s="284"/>
      <c r="GE7" s="284"/>
      <c r="GF7" s="284"/>
      <c r="GG7" s="284"/>
      <c r="GH7" s="284"/>
      <c r="GI7" s="284"/>
      <c r="GJ7" s="284"/>
      <c r="GK7" s="284"/>
      <c r="GL7" s="284"/>
      <c r="GM7" s="284"/>
      <c r="GN7" s="284"/>
      <c r="GO7" s="284"/>
      <c r="GP7" s="284"/>
      <c r="GQ7" s="284"/>
      <c r="GR7" s="284"/>
      <c r="GS7" s="284"/>
      <c r="GT7" s="284"/>
      <c r="GU7" s="284"/>
      <c r="GV7" s="284"/>
      <c r="GW7" s="284"/>
      <c r="GX7" s="284"/>
      <c r="GY7" s="284"/>
      <c r="GZ7" s="284"/>
      <c r="HA7" s="284"/>
      <c r="HB7" s="284"/>
      <c r="HC7" s="284"/>
      <c r="HD7" s="284"/>
      <c r="HE7" s="284"/>
      <c r="HF7" s="284"/>
      <c r="HG7" s="284"/>
      <c r="HH7" s="284"/>
      <c r="HI7" s="284"/>
      <c r="HJ7" s="284"/>
      <c r="HK7" s="284"/>
      <c r="HL7" s="284"/>
      <c r="HM7" s="284"/>
      <c r="HN7" s="284"/>
      <c r="HO7" s="284"/>
      <c r="HP7" s="284"/>
      <c r="HQ7" s="284"/>
      <c r="HR7" s="284"/>
      <c r="HS7" s="284"/>
      <c r="HT7" s="284"/>
      <c r="HU7" s="284"/>
      <c r="HV7" s="284"/>
      <c r="HW7" s="284"/>
      <c r="HX7" s="284"/>
      <c r="HY7" s="284"/>
      <c r="HZ7" s="284"/>
      <c r="IA7" s="284"/>
      <c r="IB7" s="284"/>
      <c r="IC7" s="284"/>
      <c r="ID7" s="284"/>
      <c r="IE7" s="284"/>
      <c r="IF7" s="284"/>
      <c r="IG7" s="284"/>
      <c r="IH7" s="284"/>
      <c r="II7" s="284"/>
      <c r="IJ7" s="284"/>
      <c r="IK7" s="284"/>
      <c r="IL7" s="284"/>
      <c r="IM7" s="284"/>
      <c r="IN7" s="284"/>
      <c r="IO7" s="284"/>
      <c r="IP7" s="284"/>
      <c r="IQ7" s="284"/>
      <c r="IR7" s="284"/>
      <c r="IS7" s="284"/>
      <c r="IT7" s="284"/>
      <c r="IU7" s="284"/>
      <c r="IV7" s="284"/>
    </row>
    <row r="8" spans="1:256" ht="15.75" thickBot="1">
      <c r="A8" s="102">
        <v>2</v>
      </c>
      <c r="B8" s="103" t="s">
        <v>502</v>
      </c>
      <c r="C8" s="30" t="s">
        <v>271</v>
      </c>
      <c r="D8" s="104"/>
      <c r="E8" s="31">
        <v>25670</v>
      </c>
      <c r="F8" s="31">
        <v>26412</v>
      </c>
      <c r="G8" s="31">
        <v>25010</v>
      </c>
      <c r="H8" s="31">
        <v>25810</v>
      </c>
    </row>
    <row r="9" spans="1:256">
      <c r="A9" s="102">
        <v>3</v>
      </c>
      <c r="B9" s="105" t="s">
        <v>52</v>
      </c>
      <c r="C9" s="30" t="s">
        <v>271</v>
      </c>
      <c r="D9" s="31">
        <v>0</v>
      </c>
      <c r="E9" s="31">
        <v>0</v>
      </c>
      <c r="F9" s="31">
        <v>0</v>
      </c>
      <c r="G9" s="31">
        <v>225</v>
      </c>
      <c r="H9" s="31">
        <v>0</v>
      </c>
    </row>
    <row r="10" spans="1:256" s="285" customFormat="1" ht="15.75" thickBot="1">
      <c r="A10" s="281">
        <v>4</v>
      </c>
      <c r="B10" s="286" t="s">
        <v>34</v>
      </c>
      <c r="C10" s="268" t="s">
        <v>271</v>
      </c>
      <c r="D10" s="283">
        <f>IF(OR(D8="nd",D9="nd"),"nd",SUM(D8,D9))</f>
        <v>0</v>
      </c>
      <c r="E10" s="283">
        <f>IF(OR(E8="nd",E9="nd"),"nd",SUM(E8,E9))</f>
        <v>25670</v>
      </c>
      <c r="F10" s="283">
        <f>IF(OR(F8="nd",F9="nd"),"nd",SUM(F8,F9))</f>
        <v>26412</v>
      </c>
      <c r="G10" s="283">
        <f>IF(OR(G8="nd",G9="nd"),"nd",SUM(G8,G9))</f>
        <v>25235</v>
      </c>
      <c r="H10" s="283">
        <f>IF(OR(H8="nd",H9="nd"),"nd",SUM(H8,H9))</f>
        <v>25810</v>
      </c>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c r="AL10" s="284"/>
      <c r="AM10" s="284"/>
      <c r="AN10" s="284"/>
      <c r="AO10" s="284"/>
      <c r="AP10" s="284"/>
      <c r="AQ10" s="284"/>
      <c r="AR10" s="284"/>
      <c r="AS10" s="284"/>
      <c r="AT10" s="284"/>
      <c r="AU10" s="284"/>
      <c r="AV10" s="284"/>
      <c r="AW10" s="284"/>
      <c r="AX10" s="284"/>
      <c r="AY10" s="284"/>
      <c r="AZ10" s="284"/>
      <c r="BA10" s="284"/>
      <c r="BB10" s="284"/>
      <c r="BC10" s="284"/>
      <c r="BD10" s="284"/>
      <c r="BE10" s="284"/>
      <c r="BF10" s="284"/>
      <c r="BG10" s="284"/>
      <c r="BH10" s="284"/>
      <c r="BI10" s="284"/>
      <c r="BJ10" s="284"/>
      <c r="BK10" s="284"/>
      <c r="BL10" s="284"/>
      <c r="BM10" s="284"/>
      <c r="BN10" s="284"/>
      <c r="BO10" s="284"/>
      <c r="BP10" s="284"/>
      <c r="BQ10" s="284"/>
      <c r="BR10" s="284"/>
      <c r="BS10" s="284"/>
      <c r="BT10" s="284"/>
      <c r="BU10" s="284"/>
      <c r="BV10" s="284"/>
      <c r="BW10" s="284"/>
      <c r="BX10" s="284"/>
      <c r="BY10" s="284"/>
      <c r="BZ10" s="284"/>
      <c r="CA10" s="284"/>
      <c r="CB10" s="284"/>
      <c r="CC10" s="284"/>
      <c r="CD10" s="284"/>
      <c r="CE10" s="284"/>
      <c r="CF10" s="284"/>
      <c r="CG10" s="284"/>
      <c r="CH10" s="284"/>
      <c r="CI10" s="284"/>
      <c r="CJ10" s="284"/>
      <c r="CK10" s="284"/>
      <c r="CL10" s="284"/>
      <c r="CM10" s="284"/>
      <c r="CN10" s="284"/>
      <c r="CO10" s="284"/>
      <c r="CP10" s="284"/>
      <c r="CQ10" s="284"/>
      <c r="CR10" s="284"/>
      <c r="CS10" s="284"/>
      <c r="CT10" s="284"/>
      <c r="CU10" s="284"/>
      <c r="CV10" s="284"/>
      <c r="CW10" s="284"/>
      <c r="CX10" s="284"/>
      <c r="CY10" s="284"/>
      <c r="CZ10" s="284"/>
      <c r="DA10" s="284"/>
      <c r="DB10" s="284"/>
      <c r="DC10" s="284"/>
      <c r="DD10" s="284"/>
      <c r="DE10" s="284"/>
      <c r="DF10" s="284"/>
      <c r="DG10" s="284"/>
      <c r="DH10" s="284"/>
      <c r="DI10" s="284"/>
      <c r="DJ10" s="284"/>
      <c r="DK10" s="284"/>
      <c r="DL10" s="284"/>
      <c r="DM10" s="284"/>
      <c r="DN10" s="284"/>
      <c r="DO10" s="284"/>
      <c r="DP10" s="284"/>
      <c r="DQ10" s="284"/>
      <c r="DR10" s="284"/>
      <c r="DS10" s="284"/>
      <c r="DT10" s="284"/>
      <c r="DU10" s="284"/>
      <c r="DV10" s="284"/>
      <c r="DW10" s="284"/>
      <c r="DX10" s="284"/>
      <c r="DY10" s="284"/>
      <c r="DZ10" s="284"/>
      <c r="EA10" s="284"/>
      <c r="EB10" s="284"/>
      <c r="EC10" s="284"/>
      <c r="ED10" s="284"/>
      <c r="EE10" s="284"/>
      <c r="EF10" s="284"/>
      <c r="EG10" s="284"/>
      <c r="EH10" s="284"/>
      <c r="EI10" s="284"/>
      <c r="EJ10" s="284"/>
      <c r="EK10" s="284"/>
      <c r="EL10" s="284"/>
      <c r="EM10" s="284"/>
      <c r="EN10" s="284"/>
      <c r="EO10" s="284"/>
      <c r="EP10" s="284"/>
      <c r="EQ10" s="284"/>
      <c r="ER10" s="284"/>
      <c r="ES10" s="284"/>
      <c r="ET10" s="284"/>
      <c r="EU10" s="284"/>
      <c r="EV10" s="284"/>
      <c r="EW10" s="284"/>
      <c r="EX10" s="284"/>
      <c r="EY10" s="284"/>
      <c r="EZ10" s="284"/>
      <c r="FA10" s="284"/>
      <c r="FB10" s="284"/>
      <c r="FC10" s="284"/>
      <c r="FD10" s="284"/>
      <c r="FE10" s="284"/>
      <c r="FF10" s="284"/>
      <c r="FG10" s="284"/>
      <c r="FH10" s="284"/>
      <c r="FI10" s="284"/>
      <c r="FJ10" s="284"/>
      <c r="FK10" s="284"/>
      <c r="FL10" s="284"/>
      <c r="FM10" s="284"/>
      <c r="FN10" s="284"/>
      <c r="FO10" s="284"/>
      <c r="FP10" s="284"/>
      <c r="FQ10" s="284"/>
      <c r="FR10" s="284"/>
      <c r="FS10" s="284"/>
      <c r="FT10" s="284"/>
      <c r="FU10" s="284"/>
      <c r="FV10" s="284"/>
      <c r="FW10" s="284"/>
      <c r="FX10" s="284"/>
      <c r="FY10" s="284"/>
      <c r="FZ10" s="284"/>
      <c r="GA10" s="284"/>
      <c r="GB10" s="284"/>
      <c r="GC10" s="284"/>
      <c r="GD10" s="284"/>
      <c r="GE10" s="284"/>
      <c r="GF10" s="284"/>
      <c r="GG10" s="284"/>
      <c r="GH10" s="284"/>
      <c r="GI10" s="284"/>
      <c r="GJ10" s="284"/>
      <c r="GK10" s="284"/>
      <c r="GL10" s="284"/>
      <c r="GM10" s="284"/>
      <c r="GN10" s="284"/>
      <c r="GO10" s="284"/>
      <c r="GP10" s="284"/>
      <c r="GQ10" s="284"/>
      <c r="GR10" s="284"/>
      <c r="GS10" s="284"/>
      <c r="GT10" s="284"/>
      <c r="GU10" s="284"/>
      <c r="GV10" s="284"/>
      <c r="GW10" s="284"/>
      <c r="GX10" s="284"/>
      <c r="GY10" s="284"/>
      <c r="GZ10" s="284"/>
      <c r="HA10" s="284"/>
      <c r="HB10" s="284"/>
      <c r="HC10" s="284"/>
      <c r="HD10" s="284"/>
      <c r="HE10" s="284"/>
      <c r="HF10" s="284"/>
      <c r="HG10" s="284"/>
      <c r="HH10" s="284"/>
      <c r="HI10" s="284"/>
      <c r="HJ10" s="284"/>
      <c r="HK10" s="284"/>
      <c r="HL10" s="284"/>
      <c r="HM10" s="284"/>
      <c r="HN10" s="284"/>
      <c r="HO10" s="284"/>
      <c r="HP10" s="284"/>
      <c r="HQ10" s="284"/>
      <c r="HR10" s="284"/>
      <c r="HS10" s="284"/>
      <c r="HT10" s="284"/>
      <c r="HU10" s="284"/>
      <c r="HV10" s="284"/>
      <c r="HW10" s="284"/>
      <c r="HX10" s="284"/>
      <c r="HY10" s="284"/>
      <c r="HZ10" s="284"/>
      <c r="IA10" s="284"/>
      <c r="IB10" s="284"/>
      <c r="IC10" s="284"/>
      <c r="ID10" s="284"/>
      <c r="IE10" s="284"/>
      <c r="IF10" s="284"/>
      <c r="IG10" s="284"/>
      <c r="IH10" s="284"/>
      <c r="II10" s="284"/>
      <c r="IJ10" s="284"/>
      <c r="IK10" s="284"/>
      <c r="IL10" s="284"/>
      <c r="IM10" s="284"/>
      <c r="IN10" s="284"/>
      <c r="IO10" s="284"/>
      <c r="IP10" s="284"/>
      <c r="IQ10" s="284"/>
      <c r="IR10" s="284"/>
      <c r="IS10" s="284"/>
      <c r="IT10" s="284"/>
      <c r="IU10" s="284"/>
      <c r="IV10" s="284"/>
    </row>
    <row r="11" spans="1:256">
      <c r="A11" s="72"/>
      <c r="B11" s="72" t="s">
        <v>503</v>
      </c>
      <c r="C11" s="100" t="s">
        <v>268</v>
      </c>
      <c r="D11" s="71">
        <f>IF(D13="na","na",IF(OR(D13="nd",D12="nd"),"nd",D13*100/D12))</f>
        <v>0</v>
      </c>
      <c r="E11" s="71">
        <f>IF(E13="na","na",IF(OR(E13="nd",E12="nd"),"nd",E13*100/E12))</f>
        <v>26.961801552532471</v>
      </c>
      <c r="F11" s="71">
        <f>IF(F13="na","na",IF(OR(F13="nd",F12="nd"),"nd",F13*100/F12))</f>
        <v>26.214317740248095</v>
      </c>
      <c r="G11" s="71">
        <f>IF(G13="na","na",IF(OR(G13="nd",G12="nd"),"nd",G13*100/G12))</f>
        <v>26.010291842095793</v>
      </c>
      <c r="H11" s="71">
        <f>IF(H13="na","na",IF(OR(H13="nd",H12="nd"),"nd",H13*100/H12))</f>
        <v>50.500875656742558</v>
      </c>
    </row>
    <row r="12" spans="1:256" s="285" customFormat="1" ht="15.75" thickBot="1">
      <c r="A12" s="281">
        <v>5</v>
      </c>
      <c r="B12" s="286" t="s">
        <v>33</v>
      </c>
      <c r="C12" s="268" t="s">
        <v>271</v>
      </c>
      <c r="D12" s="283">
        <f>D7</f>
        <v>17362</v>
      </c>
      <c r="E12" s="283">
        <f>E7</f>
        <v>26022</v>
      </c>
      <c r="F12" s="283">
        <f>F7</f>
        <v>26764</v>
      </c>
      <c r="G12" s="283">
        <f>G7</f>
        <v>27789</v>
      </c>
      <c r="H12" s="283">
        <f>H7</f>
        <v>28550</v>
      </c>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c r="AL12" s="284"/>
      <c r="AM12" s="284"/>
      <c r="AN12" s="284"/>
      <c r="AO12" s="284"/>
      <c r="AP12" s="284"/>
      <c r="AQ12" s="284"/>
      <c r="AR12" s="284"/>
      <c r="AS12" s="284"/>
      <c r="AT12" s="284"/>
      <c r="AU12" s="284"/>
      <c r="AV12" s="284"/>
      <c r="AW12" s="284"/>
      <c r="AX12" s="284"/>
      <c r="AY12" s="284"/>
      <c r="AZ12" s="284"/>
      <c r="BA12" s="284"/>
      <c r="BB12" s="284"/>
      <c r="BC12" s="284"/>
      <c r="BD12" s="284"/>
      <c r="BE12" s="284"/>
      <c r="BF12" s="284"/>
      <c r="BG12" s="284"/>
      <c r="BH12" s="284"/>
      <c r="BI12" s="284"/>
      <c r="BJ12" s="284"/>
      <c r="BK12" s="284"/>
      <c r="BL12" s="284"/>
      <c r="BM12" s="284"/>
      <c r="BN12" s="284"/>
      <c r="BO12" s="284"/>
      <c r="BP12" s="284"/>
      <c r="BQ12" s="284"/>
      <c r="BR12" s="284"/>
      <c r="BS12" s="284"/>
      <c r="BT12" s="284"/>
      <c r="BU12" s="284"/>
      <c r="BV12" s="284"/>
      <c r="BW12" s="284"/>
      <c r="BX12" s="284"/>
      <c r="BY12" s="284"/>
      <c r="BZ12" s="284"/>
      <c r="CA12" s="284"/>
      <c r="CB12" s="284"/>
      <c r="CC12" s="284"/>
      <c r="CD12" s="284"/>
      <c r="CE12" s="284"/>
      <c r="CF12" s="284"/>
      <c r="CG12" s="284"/>
      <c r="CH12" s="284"/>
      <c r="CI12" s="284"/>
      <c r="CJ12" s="284"/>
      <c r="CK12" s="284"/>
      <c r="CL12" s="284"/>
      <c r="CM12" s="284"/>
      <c r="CN12" s="284"/>
      <c r="CO12" s="284"/>
      <c r="CP12" s="284"/>
      <c r="CQ12" s="284"/>
      <c r="CR12" s="284"/>
      <c r="CS12" s="284"/>
      <c r="CT12" s="284"/>
      <c r="CU12" s="284"/>
      <c r="CV12" s="284"/>
      <c r="CW12" s="284"/>
      <c r="CX12" s="284"/>
      <c r="CY12" s="284"/>
      <c r="CZ12" s="284"/>
      <c r="DA12" s="284"/>
      <c r="DB12" s="284"/>
      <c r="DC12" s="284"/>
      <c r="DD12" s="284"/>
      <c r="DE12" s="284"/>
      <c r="DF12" s="284"/>
      <c r="DG12" s="284"/>
      <c r="DH12" s="284"/>
      <c r="DI12" s="284"/>
      <c r="DJ12" s="284"/>
      <c r="DK12" s="284"/>
      <c r="DL12" s="284"/>
      <c r="DM12" s="284"/>
      <c r="DN12" s="284"/>
      <c r="DO12" s="284"/>
      <c r="DP12" s="284"/>
      <c r="DQ12" s="284"/>
      <c r="DR12" s="284"/>
      <c r="DS12" s="284"/>
      <c r="DT12" s="284"/>
      <c r="DU12" s="284"/>
      <c r="DV12" s="284"/>
      <c r="DW12" s="284"/>
      <c r="DX12" s="284"/>
      <c r="DY12" s="284"/>
      <c r="DZ12" s="284"/>
      <c r="EA12" s="284"/>
      <c r="EB12" s="284"/>
      <c r="EC12" s="284"/>
      <c r="ED12" s="284"/>
      <c r="EE12" s="284"/>
      <c r="EF12" s="284"/>
      <c r="EG12" s="284"/>
      <c r="EH12" s="284"/>
      <c r="EI12" s="284"/>
      <c r="EJ12" s="284"/>
      <c r="EK12" s="284"/>
      <c r="EL12" s="284"/>
      <c r="EM12" s="284"/>
      <c r="EN12" s="284"/>
      <c r="EO12" s="284"/>
      <c r="EP12" s="284"/>
      <c r="EQ12" s="284"/>
      <c r="ER12" s="284"/>
      <c r="ES12" s="284"/>
      <c r="ET12" s="284"/>
      <c r="EU12" s="284"/>
      <c r="EV12" s="284"/>
      <c r="EW12" s="284"/>
      <c r="EX12" s="284"/>
      <c r="EY12" s="284"/>
      <c r="EZ12" s="284"/>
      <c r="FA12" s="284"/>
      <c r="FB12" s="284"/>
      <c r="FC12" s="284"/>
      <c r="FD12" s="284"/>
      <c r="FE12" s="284"/>
      <c r="FF12" s="284"/>
      <c r="FG12" s="284"/>
      <c r="FH12" s="284"/>
      <c r="FI12" s="284"/>
      <c r="FJ12" s="284"/>
      <c r="FK12" s="284"/>
      <c r="FL12" s="284"/>
      <c r="FM12" s="284"/>
      <c r="FN12" s="284"/>
      <c r="FO12" s="284"/>
      <c r="FP12" s="284"/>
      <c r="FQ12" s="284"/>
      <c r="FR12" s="284"/>
      <c r="FS12" s="284"/>
      <c r="FT12" s="284"/>
      <c r="FU12" s="284"/>
      <c r="FV12" s="284"/>
      <c r="FW12" s="284"/>
      <c r="FX12" s="284"/>
      <c r="FY12" s="284"/>
      <c r="FZ12" s="284"/>
      <c r="GA12" s="284"/>
      <c r="GB12" s="284"/>
      <c r="GC12" s="284"/>
      <c r="GD12" s="284"/>
      <c r="GE12" s="284"/>
      <c r="GF12" s="284"/>
      <c r="GG12" s="284"/>
      <c r="GH12" s="284"/>
      <c r="GI12" s="284"/>
      <c r="GJ12" s="284"/>
      <c r="GK12" s="284"/>
      <c r="GL12" s="284"/>
      <c r="GM12" s="284"/>
      <c r="GN12" s="284"/>
      <c r="GO12" s="284"/>
      <c r="GP12" s="284"/>
      <c r="GQ12" s="284"/>
      <c r="GR12" s="284"/>
      <c r="GS12" s="284"/>
      <c r="GT12" s="284"/>
      <c r="GU12" s="284"/>
      <c r="GV12" s="284"/>
      <c r="GW12" s="284"/>
      <c r="GX12" s="284"/>
      <c r="GY12" s="284"/>
      <c r="GZ12" s="284"/>
      <c r="HA12" s="284"/>
      <c r="HB12" s="284"/>
      <c r="HC12" s="284"/>
      <c r="HD12" s="284"/>
      <c r="HE12" s="284"/>
      <c r="HF12" s="284"/>
      <c r="HG12" s="284"/>
      <c r="HH12" s="284"/>
      <c r="HI12" s="284"/>
      <c r="HJ12" s="284"/>
      <c r="HK12" s="284"/>
      <c r="HL12" s="284"/>
      <c r="HM12" s="284"/>
      <c r="HN12" s="284"/>
      <c r="HO12" s="284"/>
      <c r="HP12" s="284"/>
      <c r="HQ12" s="284"/>
      <c r="HR12" s="284"/>
      <c r="HS12" s="284"/>
      <c r="HT12" s="284"/>
      <c r="HU12" s="284"/>
      <c r="HV12" s="284"/>
      <c r="HW12" s="284"/>
      <c r="HX12" s="284"/>
      <c r="HY12" s="284"/>
      <c r="HZ12" s="284"/>
      <c r="IA12" s="284"/>
      <c r="IB12" s="284"/>
      <c r="IC12" s="284"/>
      <c r="ID12" s="284"/>
      <c r="IE12" s="284"/>
      <c r="IF12" s="284"/>
      <c r="IG12" s="284"/>
      <c r="IH12" s="284"/>
      <c r="II12" s="284"/>
      <c r="IJ12" s="284"/>
      <c r="IK12" s="284"/>
      <c r="IL12" s="284"/>
      <c r="IM12" s="284"/>
      <c r="IN12" s="284"/>
      <c r="IO12" s="284"/>
      <c r="IP12" s="284"/>
      <c r="IQ12" s="284"/>
      <c r="IR12" s="284"/>
      <c r="IS12" s="284"/>
      <c r="IT12" s="284"/>
      <c r="IU12" s="284"/>
      <c r="IV12" s="284"/>
    </row>
    <row r="13" spans="1:256">
      <c r="A13" s="102">
        <v>6</v>
      </c>
      <c r="B13" s="105" t="s">
        <v>28</v>
      </c>
      <c r="C13" s="30" t="s">
        <v>271</v>
      </c>
      <c r="D13" s="31">
        <v>0</v>
      </c>
      <c r="E13" s="31">
        <v>7016</v>
      </c>
      <c r="F13" s="31">
        <v>7016</v>
      </c>
      <c r="G13" s="31">
        <v>7228</v>
      </c>
      <c r="H13" s="31">
        <v>14418</v>
      </c>
    </row>
    <row r="14" spans="1:256" ht="15.75" thickBot="1">
      <c r="A14" s="102">
        <v>7</v>
      </c>
      <c r="B14" s="105" t="s">
        <v>504</v>
      </c>
      <c r="C14" s="30" t="s">
        <v>271</v>
      </c>
      <c r="D14" s="104"/>
      <c r="E14" s="31">
        <v>18654</v>
      </c>
      <c r="F14" s="31">
        <v>19396</v>
      </c>
      <c r="G14" s="31">
        <v>17782</v>
      </c>
      <c r="H14" s="31">
        <v>11392</v>
      </c>
    </row>
    <row r="15" spans="1:256" ht="19.5" thickBot="1">
      <c r="A15" s="72"/>
      <c r="B15" s="106" t="s">
        <v>505</v>
      </c>
      <c r="C15" s="107" t="s">
        <v>268</v>
      </c>
      <c r="D15" s="71">
        <f>IF(D36="na","na",IF(OR(D36="nd",D34="nd"),"nd",D36*100/D34))</f>
        <v>0</v>
      </c>
      <c r="E15" s="71">
        <f>IF(E36="na","na",IF(OR(E36="nd",E34="nd"),"nd",E36*100/E34))</f>
        <v>3.223865199449794</v>
      </c>
      <c r="F15" s="71">
        <f>IF(F36="na","na",IF(OR(F36="nd",F34="nd"),"nd",F36*100/F34))</f>
        <v>3.1487908643081055</v>
      </c>
      <c r="G15" s="71">
        <f>IF(G36="na","na",IF(OR(G36="nd",G34="nd"),"nd",G36*100/G34))</f>
        <v>4.0221008696931246</v>
      </c>
      <c r="H15" s="71" t="str">
        <f>IF(H36="na","na",IF(OR(H36="nd",H34="nd"),"nd",H36*100/H34))</f>
        <v>na</v>
      </c>
    </row>
    <row r="16" spans="1:256">
      <c r="A16" s="108"/>
      <c r="B16" s="101" t="s">
        <v>506</v>
      </c>
      <c r="C16" s="61" t="s">
        <v>258</v>
      </c>
      <c r="D16" s="271" t="str">
        <f>'General Info'!D4</f>
        <v>FY 2008-2009</v>
      </c>
      <c r="E16" s="271" t="str">
        <f>'General Info'!E4</f>
        <v>FY 2009-2010</v>
      </c>
      <c r="F16" s="271" t="str">
        <f>'General Info'!F4</f>
        <v>FY 2010-2011</v>
      </c>
      <c r="G16" s="271" t="str">
        <f>'General Info'!G4</f>
        <v>FY 2011-2012</v>
      </c>
      <c r="H16" s="271" t="str">
        <f>'General Info'!H4</f>
        <v>FY 2012-2013</v>
      </c>
    </row>
    <row r="17" spans="1:8" ht="15.75" thickBot="1">
      <c r="A17" s="109">
        <v>8</v>
      </c>
      <c r="B17" s="282" t="s">
        <v>507</v>
      </c>
      <c r="C17" s="268" t="s">
        <v>252</v>
      </c>
      <c r="D17" s="287">
        <f>water!D42</f>
        <v>6.86</v>
      </c>
      <c r="E17" s="287">
        <f>water!E42</f>
        <v>8.27</v>
      </c>
      <c r="F17" s="287">
        <f>water!F42</f>
        <v>8.5</v>
      </c>
      <c r="G17" s="287">
        <f>water!G42</f>
        <v>10.4</v>
      </c>
      <c r="H17" s="287">
        <f>water!H42</f>
        <v>10.66</v>
      </c>
    </row>
    <row r="18" spans="1:8" ht="15.75" thickBot="1">
      <c r="A18" s="102">
        <v>9</v>
      </c>
      <c r="B18" s="282" t="s">
        <v>508</v>
      </c>
      <c r="C18" s="268" t="s">
        <v>252</v>
      </c>
      <c r="D18" s="287">
        <f>water!D43</f>
        <v>0</v>
      </c>
      <c r="E18" s="287" t="str">
        <f>water!E43</f>
        <v>NA</v>
      </c>
      <c r="F18" s="287" t="str">
        <f>water!F43</f>
        <v>NA</v>
      </c>
      <c r="G18" s="287" t="str">
        <f>water!G43</f>
        <v>NA</v>
      </c>
      <c r="H18" s="287" t="str">
        <f>water!H43</f>
        <v>NA</v>
      </c>
    </row>
    <row r="19" spans="1:8" ht="15.75" thickBot="1">
      <c r="A19" s="109">
        <v>10</v>
      </c>
      <c r="B19" s="282" t="s">
        <v>509</v>
      </c>
      <c r="C19" s="268" t="s">
        <v>252</v>
      </c>
      <c r="D19" s="287">
        <f>water!D44</f>
        <v>0</v>
      </c>
      <c r="E19" s="287" t="str">
        <f>water!E44</f>
        <v>NA</v>
      </c>
      <c r="F19" s="287" t="str">
        <f>water!F44</f>
        <v>NA</v>
      </c>
      <c r="G19" s="287" t="str">
        <f>water!G44</f>
        <v>NA</v>
      </c>
      <c r="H19" s="287" t="str">
        <f>water!H44</f>
        <v>NA</v>
      </c>
    </row>
    <row r="20" spans="1:8" ht="15.75" thickBot="1">
      <c r="A20" s="102">
        <v>11</v>
      </c>
      <c r="B20" s="282" t="s">
        <v>510</v>
      </c>
      <c r="C20" s="268" t="s">
        <v>252</v>
      </c>
      <c r="D20" s="287">
        <f>water!D45</f>
        <v>0</v>
      </c>
      <c r="E20" s="287">
        <f>water!E45</f>
        <v>0.42</v>
      </c>
      <c r="F20" s="287">
        <f>water!F45</f>
        <v>0.4</v>
      </c>
      <c r="G20" s="287">
        <f>water!G45</f>
        <v>0.47670000000000001</v>
      </c>
      <c r="H20" s="287">
        <f>water!H45</f>
        <v>0.56000000000000005</v>
      </c>
    </row>
    <row r="21" spans="1:8" ht="15.75" thickBot="1">
      <c r="A21" s="109">
        <v>12</v>
      </c>
      <c r="B21" s="282" t="s">
        <v>511</v>
      </c>
      <c r="C21" s="268" t="s">
        <v>252</v>
      </c>
      <c r="D21" s="287">
        <f>IF(OR(water!D46="nd",water!D49="nd",water!D50="nd"),"nd",SUM(water!D46,water!D49,water!D50))</f>
        <v>0</v>
      </c>
      <c r="E21" s="287">
        <f>IF(OR(water!E46="nd",water!E49="nd",water!E50="nd"),"nd",SUM(water!E46,water!E49,water!E50))</f>
        <v>1.9E-2</v>
      </c>
      <c r="F21" s="287">
        <f>IF(OR(water!F46="nd",water!F49="nd",water!F50="nd"),"nd",SUM(water!F46,water!F49,water!F50))</f>
        <v>1.7000000000000001E-2</v>
      </c>
      <c r="G21" s="287">
        <f>IF(OR(water!G46="nd",water!G49="nd",water!G50="nd"),"nd",SUM(water!G46,water!G49,water!G50))</f>
        <v>6.9999999999999999E-4</v>
      </c>
      <c r="H21" s="287">
        <f>IF(OR(water!H46="nd",water!H49="nd",water!H50="nd"),"nd",SUM(water!H46,water!H49,water!H50))</f>
        <v>3.5000000000000003E-2</v>
      </c>
    </row>
    <row r="22" spans="1:8" ht="15.75" thickBot="1">
      <c r="A22" s="102">
        <v>13</v>
      </c>
      <c r="B22" s="282" t="s">
        <v>512</v>
      </c>
      <c r="C22" s="268" t="s">
        <v>252</v>
      </c>
      <c r="D22" s="287">
        <f>water!D50</f>
        <v>0</v>
      </c>
      <c r="E22" s="287">
        <f>water!E50</f>
        <v>1.4999999999999999E-2</v>
      </c>
      <c r="F22" s="287">
        <f>water!F50</f>
        <v>1.4999999999999999E-2</v>
      </c>
      <c r="G22" s="287" t="str">
        <f>water!G50</f>
        <v>NA</v>
      </c>
      <c r="H22" s="287">
        <f>water!H50</f>
        <v>0.02</v>
      </c>
    </row>
    <row r="23" spans="1:8" ht="15.75" thickBot="1">
      <c r="A23" s="109">
        <v>14</v>
      </c>
      <c r="B23" s="282" t="s">
        <v>513</v>
      </c>
      <c r="C23" s="268" t="s">
        <v>252</v>
      </c>
      <c r="D23" s="287">
        <f>water!D47</f>
        <v>0</v>
      </c>
      <c r="E23" s="287" t="str">
        <f>water!E47</f>
        <v>NA</v>
      </c>
      <c r="F23" s="287" t="str">
        <f>water!F47</f>
        <v>NA</v>
      </c>
      <c r="G23" s="287" t="str">
        <f>water!G47</f>
        <v>NA</v>
      </c>
      <c r="H23" s="287" t="str">
        <f>water!H47</f>
        <v>NA</v>
      </c>
    </row>
    <row r="24" spans="1:8" ht="15.75" thickBot="1">
      <c r="A24" s="102">
        <v>15</v>
      </c>
      <c r="B24" s="110" t="s">
        <v>35</v>
      </c>
      <c r="C24" s="30" t="s">
        <v>252</v>
      </c>
      <c r="D24" s="111"/>
      <c r="E24" s="33">
        <v>0</v>
      </c>
      <c r="F24" s="33">
        <v>0</v>
      </c>
      <c r="G24" s="33">
        <v>0</v>
      </c>
      <c r="H24" s="33">
        <v>0</v>
      </c>
    </row>
    <row r="25" spans="1:8" ht="15.75" thickBot="1">
      <c r="A25" s="109">
        <v>16</v>
      </c>
      <c r="B25" s="282" t="s">
        <v>514</v>
      </c>
      <c r="C25" s="268" t="s">
        <v>252</v>
      </c>
      <c r="D25" s="287">
        <f>IF(OR(D17="nd",D18="nd",D19="nd",D20="nd",D21="nd",D22="nd",D23="nd",D24="nd"),"nd",SUM(D17:D24))</f>
        <v>6.86</v>
      </c>
      <c r="E25" s="287">
        <f>IF(OR(E17="nd",E18="nd",E19="nd",E20="nd",E21="nd",E22="nd",E23="nd",E24="nd"),"nd",SUM(E17:E24))</f>
        <v>8.7240000000000002</v>
      </c>
      <c r="F25" s="287">
        <f>IF(OR(F17="nd",F18="nd",F19="nd",F20="nd",F21="nd",F22="nd",F23="nd",F24="nd"),"nd",SUM(F17:F24))</f>
        <v>8.9320000000000004</v>
      </c>
      <c r="G25" s="287">
        <f>IF(OR(G17="nd",G18="nd",G19="nd",G20="nd",G21="nd",G22="nd",G23="nd",G24="nd"),"nd",SUM(G17:G24))</f>
        <v>10.8774</v>
      </c>
      <c r="H25" s="287">
        <f>IF(OR(H17="nd",H18="nd",H19="nd",H20="nd",H21="nd",H22="nd",H23="nd",H24="nd"),"nd",SUM(H17:H24))</f>
        <v>11.275</v>
      </c>
    </row>
    <row r="26" spans="1:8" ht="15.75" thickBot="1">
      <c r="A26" s="102">
        <v>17</v>
      </c>
      <c r="B26" s="282" t="s">
        <v>515</v>
      </c>
      <c r="C26" s="268" t="s">
        <v>252</v>
      </c>
      <c r="D26" s="287">
        <f t="shared" ref="D26:H33" si="0">IF(D17="na","na",IF(D17="nd","nd",0.8*D17))</f>
        <v>5.4880000000000004</v>
      </c>
      <c r="E26" s="287">
        <f t="shared" si="0"/>
        <v>6.6159999999999997</v>
      </c>
      <c r="F26" s="287">
        <f t="shared" si="0"/>
        <v>6.8000000000000007</v>
      </c>
      <c r="G26" s="287">
        <f t="shared" si="0"/>
        <v>8.32</v>
      </c>
      <c r="H26" s="287">
        <f t="shared" si="0"/>
        <v>8.5280000000000005</v>
      </c>
    </row>
    <row r="27" spans="1:8" ht="15.75" thickBot="1">
      <c r="A27" s="109">
        <v>18</v>
      </c>
      <c r="B27" s="282" t="s">
        <v>516</v>
      </c>
      <c r="C27" s="268" t="s">
        <v>252</v>
      </c>
      <c r="D27" s="287">
        <f t="shared" si="0"/>
        <v>0</v>
      </c>
      <c r="E27" s="287" t="str">
        <f t="shared" si="0"/>
        <v>na</v>
      </c>
      <c r="F27" s="287" t="str">
        <f t="shared" si="0"/>
        <v>na</v>
      </c>
      <c r="G27" s="287" t="str">
        <f t="shared" si="0"/>
        <v>na</v>
      </c>
      <c r="H27" s="287" t="str">
        <f t="shared" si="0"/>
        <v>na</v>
      </c>
    </row>
    <row r="28" spans="1:8" ht="15.75" thickBot="1">
      <c r="A28" s="102">
        <v>19</v>
      </c>
      <c r="B28" s="282" t="s">
        <v>517</v>
      </c>
      <c r="C28" s="268" t="s">
        <v>252</v>
      </c>
      <c r="D28" s="287">
        <f t="shared" si="0"/>
        <v>0</v>
      </c>
      <c r="E28" s="287" t="str">
        <f t="shared" si="0"/>
        <v>na</v>
      </c>
      <c r="F28" s="287" t="str">
        <f t="shared" si="0"/>
        <v>na</v>
      </c>
      <c r="G28" s="287" t="str">
        <f t="shared" si="0"/>
        <v>na</v>
      </c>
      <c r="H28" s="287" t="str">
        <f t="shared" si="0"/>
        <v>na</v>
      </c>
    </row>
    <row r="29" spans="1:8" ht="15.75" thickBot="1">
      <c r="A29" s="109">
        <v>20</v>
      </c>
      <c r="B29" s="282" t="s">
        <v>518</v>
      </c>
      <c r="C29" s="268" t="s">
        <v>252</v>
      </c>
      <c r="D29" s="287">
        <f t="shared" si="0"/>
        <v>0</v>
      </c>
      <c r="E29" s="287">
        <f t="shared" si="0"/>
        <v>0.33600000000000002</v>
      </c>
      <c r="F29" s="287">
        <f t="shared" si="0"/>
        <v>0.32000000000000006</v>
      </c>
      <c r="G29" s="287">
        <f t="shared" si="0"/>
        <v>0.38136000000000003</v>
      </c>
      <c r="H29" s="287">
        <f t="shared" si="0"/>
        <v>0.44800000000000006</v>
      </c>
    </row>
    <row r="30" spans="1:8" ht="15.75" thickBot="1">
      <c r="A30" s="102">
        <v>21</v>
      </c>
      <c r="B30" s="282" t="s">
        <v>519</v>
      </c>
      <c r="C30" s="268" t="s">
        <v>252</v>
      </c>
      <c r="D30" s="287">
        <f t="shared" si="0"/>
        <v>0</v>
      </c>
      <c r="E30" s="287">
        <f t="shared" si="0"/>
        <v>1.52E-2</v>
      </c>
      <c r="F30" s="287">
        <f t="shared" si="0"/>
        <v>1.3600000000000001E-2</v>
      </c>
      <c r="G30" s="287">
        <f t="shared" si="0"/>
        <v>5.6000000000000006E-4</v>
      </c>
      <c r="H30" s="287">
        <f t="shared" si="0"/>
        <v>2.8000000000000004E-2</v>
      </c>
    </row>
    <row r="31" spans="1:8" ht="15.75" thickBot="1">
      <c r="A31" s="109">
        <v>22</v>
      </c>
      <c r="B31" s="282" t="s">
        <v>520</v>
      </c>
      <c r="C31" s="268" t="s">
        <v>252</v>
      </c>
      <c r="D31" s="287">
        <f t="shared" si="0"/>
        <v>0</v>
      </c>
      <c r="E31" s="287">
        <f t="shared" si="0"/>
        <v>1.2E-2</v>
      </c>
      <c r="F31" s="287">
        <f t="shared" si="0"/>
        <v>1.2E-2</v>
      </c>
      <c r="G31" s="287" t="str">
        <f t="shared" si="0"/>
        <v>na</v>
      </c>
      <c r="H31" s="287">
        <f t="shared" si="0"/>
        <v>1.6E-2</v>
      </c>
    </row>
    <row r="32" spans="1:8" ht="15.75" thickBot="1">
      <c r="A32" s="102">
        <v>23</v>
      </c>
      <c r="B32" s="282" t="s">
        <v>521</v>
      </c>
      <c r="C32" s="268" t="s">
        <v>252</v>
      </c>
      <c r="D32" s="287">
        <f t="shared" si="0"/>
        <v>0</v>
      </c>
      <c r="E32" s="287" t="str">
        <f t="shared" si="0"/>
        <v>na</v>
      </c>
      <c r="F32" s="287" t="str">
        <f t="shared" si="0"/>
        <v>na</v>
      </c>
      <c r="G32" s="287" t="str">
        <f t="shared" si="0"/>
        <v>na</v>
      </c>
      <c r="H32" s="287" t="str">
        <f t="shared" si="0"/>
        <v>na</v>
      </c>
    </row>
    <row r="33" spans="1:8" ht="15.75" thickBot="1">
      <c r="A33" s="109">
        <v>24</v>
      </c>
      <c r="B33" s="282" t="s">
        <v>522</v>
      </c>
      <c r="C33" s="268" t="s">
        <v>252</v>
      </c>
      <c r="D33" s="287">
        <f t="shared" si="0"/>
        <v>0</v>
      </c>
      <c r="E33" s="287">
        <f t="shared" si="0"/>
        <v>0</v>
      </c>
      <c r="F33" s="287">
        <f t="shared" si="0"/>
        <v>0</v>
      </c>
      <c r="G33" s="287">
        <f t="shared" si="0"/>
        <v>0</v>
      </c>
      <c r="H33" s="287">
        <f t="shared" si="0"/>
        <v>0</v>
      </c>
    </row>
    <row r="34" spans="1:8" ht="15.75" thickBot="1">
      <c r="A34" s="102">
        <v>25</v>
      </c>
      <c r="B34" s="282" t="s">
        <v>36</v>
      </c>
      <c r="C34" s="268" t="s">
        <v>252</v>
      </c>
      <c r="D34" s="287">
        <f>IF(OR(D26="nd",D27="nd",D28="nd",D29="nd",D30="nd",D31="nd",D32="nd",D33="nd"),"nd",SUM(D26:D33))</f>
        <v>5.4880000000000004</v>
      </c>
      <c r="E34" s="287">
        <f>IF(OR(E26="nd",E27="nd",E28="nd",E29="nd",E30="nd",E31="nd",E32="nd",E33="nd"),"nd",SUM(E26:E33))</f>
        <v>6.9791999999999996</v>
      </c>
      <c r="F34" s="287">
        <f>IF(OR(F26="nd",F27="nd",F28="nd",F29="nd",F30="nd",F31="nd",F32="nd",F33="nd"),"nd",SUM(F26:F33))</f>
        <v>7.1456000000000008</v>
      </c>
      <c r="G34" s="287">
        <f>IF(OR(G26="nd",G27="nd",G28="nd",G29="nd",G30="nd",G31="nd",G32="nd",G33="nd"),"nd",SUM(G26:G33))</f>
        <v>8.7019200000000012</v>
      </c>
      <c r="H34" s="287">
        <f>IF(OR(H26="nd",H27="nd",H28="nd",H29="nd",H30="nd",H31="nd",H32="nd",H33="nd"),"nd",SUM(H26:H33))</f>
        <v>9.0200000000000014</v>
      </c>
    </row>
    <row r="35" spans="1:8">
      <c r="A35" s="108"/>
      <c r="B35" s="101" t="s">
        <v>523</v>
      </c>
      <c r="C35" s="61" t="s">
        <v>258</v>
      </c>
      <c r="D35" s="271" t="str">
        <f>'General Info'!D4</f>
        <v>FY 2008-2009</v>
      </c>
      <c r="E35" s="271" t="str">
        <f>'General Info'!E4</f>
        <v>FY 2009-2010</v>
      </c>
      <c r="F35" s="271" t="str">
        <f>'General Info'!F4</f>
        <v>FY 2010-2011</v>
      </c>
      <c r="G35" s="271" t="str">
        <f>'General Info'!G4</f>
        <v>FY 2011-2012</v>
      </c>
      <c r="H35" s="271" t="str">
        <f>'General Info'!H4</f>
        <v>FY 2012-2013</v>
      </c>
    </row>
    <row r="36" spans="1:8" ht="15.75" thickBot="1">
      <c r="A36" s="102">
        <v>26</v>
      </c>
      <c r="B36" s="110" t="s">
        <v>524</v>
      </c>
      <c r="C36" s="30" t="s">
        <v>252</v>
      </c>
      <c r="D36" s="104"/>
      <c r="E36" s="33">
        <v>0.22500000000000001</v>
      </c>
      <c r="F36" s="33">
        <v>0.22500000000000001</v>
      </c>
      <c r="G36" s="33">
        <v>0.35</v>
      </c>
      <c r="H36" s="33" t="s">
        <v>251</v>
      </c>
    </row>
    <row r="37" spans="1:8" ht="15.75" thickBot="1">
      <c r="A37" s="102">
        <v>27</v>
      </c>
      <c r="B37" s="110" t="s">
        <v>525</v>
      </c>
      <c r="C37" s="30" t="s">
        <v>252</v>
      </c>
      <c r="D37" s="104"/>
      <c r="E37" s="33" t="s">
        <v>251</v>
      </c>
      <c r="F37" s="33" t="s">
        <v>251</v>
      </c>
      <c r="G37" s="33" t="s">
        <v>251</v>
      </c>
      <c r="H37" s="33" t="s">
        <v>251</v>
      </c>
    </row>
    <row r="38" spans="1:8" ht="15.75" thickBot="1">
      <c r="A38" s="102">
        <v>28</v>
      </c>
      <c r="B38" s="282" t="s">
        <v>526</v>
      </c>
      <c r="C38" s="268" t="s">
        <v>252</v>
      </c>
      <c r="D38" s="283">
        <f>IF(AND(D36="na",D37="na"),"na",IF(OR(D36="nd",D37="nd"),"nd",SUM(D36,D37)))</f>
        <v>0</v>
      </c>
      <c r="E38" s="283">
        <f>IF(AND(E36="na",E37="na"),"na",IF(OR(E36="nd",E37="nd"),"nd",SUM(E36,E37)))</f>
        <v>0.22500000000000001</v>
      </c>
      <c r="F38" s="283">
        <f>IF(AND(F36="na",F37="na"),"na",IF(OR(F36="nd",F37="nd"),"nd",SUM(F36,F37)))</f>
        <v>0.22500000000000001</v>
      </c>
      <c r="G38" s="283">
        <f>IF(AND(G36="na",G37="na"),"na",IF(OR(G36="nd",G37="nd"),"nd",SUM(G36,G37)))</f>
        <v>0.35</v>
      </c>
      <c r="H38" s="283" t="str">
        <f>IF(AND(H36="na",H37="na"),"na",IF(OR(H36="nd",H37="nd"),"nd",SUM(H36,H37)))</f>
        <v>na</v>
      </c>
    </row>
    <row r="40" spans="1:8" ht="19.5" thickBot="1">
      <c r="A40" s="72"/>
      <c r="B40" s="72" t="s">
        <v>37</v>
      </c>
      <c r="C40" s="107" t="s">
        <v>268</v>
      </c>
      <c r="D40" s="71">
        <f>IF(D42="na","na",IF(OR(D42="nd",D44="nd"),"nd",D42*100/D44))</f>
        <v>0</v>
      </c>
      <c r="E40" s="71" t="str">
        <f>IF(E42="na","na",IF(OR(E42="nd",E44="nd"),"nd",E42*100/E44))</f>
        <v>na</v>
      </c>
      <c r="F40" s="71" t="str">
        <f>IF(F42="na","na",IF(OR(F42="nd",F44="nd"),"nd",F42*100/F44))</f>
        <v>na</v>
      </c>
      <c r="G40" s="71" t="str">
        <f>IF(G42="na","na",IF(OR(G42="nd",G44="nd"),"nd",G42*100/G44))</f>
        <v>na</v>
      </c>
      <c r="H40" s="71" t="str">
        <f>IF(H42="na","na",IF(OR(H42="nd",H44="nd"),"nd",H42*100/H44))</f>
        <v>na</v>
      </c>
    </row>
    <row r="41" spans="1:8" ht="15.75" thickBot="1">
      <c r="A41" s="102">
        <v>29</v>
      </c>
      <c r="B41" s="110" t="s">
        <v>527</v>
      </c>
      <c r="C41" s="30" t="s">
        <v>252</v>
      </c>
      <c r="D41" s="104"/>
      <c r="E41" s="33" t="s">
        <v>251</v>
      </c>
      <c r="F41" s="33" t="s">
        <v>251</v>
      </c>
      <c r="G41" s="33">
        <v>0.35</v>
      </c>
      <c r="H41" s="33">
        <v>15</v>
      </c>
    </row>
    <row r="42" spans="1:8" ht="15.75" thickBot="1">
      <c r="A42" s="102">
        <v>30</v>
      </c>
      <c r="B42" s="110" t="s">
        <v>528</v>
      </c>
      <c r="C42" s="30" t="s">
        <v>252</v>
      </c>
      <c r="D42" s="104"/>
      <c r="E42" s="33" t="s">
        <v>251</v>
      </c>
      <c r="F42" s="33" t="s">
        <v>251</v>
      </c>
      <c r="G42" s="33" t="s">
        <v>251</v>
      </c>
      <c r="H42" s="33" t="s">
        <v>251</v>
      </c>
    </row>
    <row r="43" spans="1:8" ht="15.75" thickBot="1">
      <c r="A43" s="102">
        <v>31</v>
      </c>
      <c r="B43" s="282" t="s">
        <v>529</v>
      </c>
      <c r="C43" s="268" t="s">
        <v>252</v>
      </c>
      <c r="D43" s="283">
        <f>IF(AND(D41="na",D42="na"),"na",IF(OR(D41="nd",D42="nd"),"nd",SUM(D41,D42)))</f>
        <v>0</v>
      </c>
      <c r="E43" s="283" t="str">
        <f>IF(AND(E41="na",E42="na"),"na",IF(OR(E41="nd",E42="nd"),"nd",SUM(E41,E42)))</f>
        <v>na</v>
      </c>
      <c r="F43" s="283" t="str">
        <f>IF(AND(F41="na",F42="na"),"na",IF(OR(F41="nd",F42="nd"),"nd",SUM(F41,F42)))</f>
        <v>na</v>
      </c>
      <c r="G43" s="283">
        <f>IF(AND(G41="na",G42="na"),"na",IF(OR(G41="nd",G42="nd"),"nd",SUM(G41,G42)))</f>
        <v>0.35</v>
      </c>
      <c r="H43" s="283">
        <f>IF(AND(H41="na",H42="na"),"na",IF(OR(H41="nd",H42="nd"),"nd",SUM(H41,H42)))</f>
        <v>15</v>
      </c>
    </row>
    <row r="44" spans="1:8" ht="15.75" thickBot="1">
      <c r="A44" s="102">
        <v>32</v>
      </c>
      <c r="B44" s="282" t="s">
        <v>36</v>
      </c>
      <c r="C44" s="268" t="s">
        <v>252</v>
      </c>
      <c r="D44" s="283">
        <f>D34</f>
        <v>5.4880000000000004</v>
      </c>
      <c r="E44" s="287">
        <f>E34</f>
        <v>6.9791999999999996</v>
      </c>
      <c r="F44" s="287">
        <f>F34</f>
        <v>7.1456000000000008</v>
      </c>
      <c r="G44" s="287">
        <f>G34</f>
        <v>8.7019200000000012</v>
      </c>
      <c r="H44" s="287">
        <f>H34</f>
        <v>9.0200000000000014</v>
      </c>
    </row>
    <row r="45" spans="1:8" ht="15.75" thickBot="1">
      <c r="A45" s="102"/>
      <c r="B45" s="112"/>
      <c r="C45" s="113"/>
      <c r="D45" s="113"/>
      <c r="E45" s="102"/>
      <c r="F45" s="102"/>
      <c r="G45" s="102"/>
      <c r="H45" s="102"/>
    </row>
    <row r="46" spans="1:8" ht="19.5" thickBot="1">
      <c r="A46" s="72"/>
      <c r="B46" s="72" t="s">
        <v>38</v>
      </c>
      <c r="C46" s="107" t="s">
        <v>268</v>
      </c>
      <c r="D46" s="114" t="e">
        <f>IF(OR(D47="na",D48="na"),"na",IF(OR(D48="nd",D47="nd"),"nd",D48*100/D47))</f>
        <v>#DIV/0!</v>
      </c>
      <c r="E46" s="114" t="str">
        <f>IF(OR(E47="na",E48="na"),"na",IF(OR(E48="nd",E47="nd"),"nd",E48*100/E47))</f>
        <v>na</v>
      </c>
      <c r="F46" s="114" t="str">
        <f>IF(OR(F47="na",F48="na"),"na",IF(OR(F48="nd",F47="nd"),"nd",F48*100/F47))</f>
        <v>na</v>
      </c>
      <c r="G46" s="114" t="str">
        <f>IF(OR(G47="na",G48="na"),"na",IF(OR(G48="nd",G47="nd"),"nd",G48*100/G47))</f>
        <v>na</v>
      </c>
      <c r="H46" s="114" t="str">
        <f>IF(OR(H47="na",H48="na"),"na",IF(OR(H48="nd",H47="nd"),"nd",H48*100/H47))</f>
        <v>na</v>
      </c>
    </row>
    <row r="47" spans="1:8" ht="15.75" thickBot="1">
      <c r="A47" s="102">
        <v>33</v>
      </c>
      <c r="B47" s="282" t="str">
        <f>$B$37</f>
        <v>Volume of sewage actually treated at Secondary Treatment Plant</v>
      </c>
      <c r="C47" s="268" t="s">
        <v>252</v>
      </c>
      <c r="D47" s="283">
        <f>D37</f>
        <v>0</v>
      </c>
      <c r="E47" s="283" t="str">
        <f>E37</f>
        <v>NA</v>
      </c>
      <c r="F47" s="283" t="str">
        <f>F37</f>
        <v>NA</v>
      </c>
      <c r="G47" s="283" t="str">
        <f>G37</f>
        <v>NA</v>
      </c>
      <c r="H47" s="283" t="str">
        <f>H37</f>
        <v>NA</v>
      </c>
    </row>
    <row r="48" spans="1:8" ht="15.75" thickBot="1">
      <c r="A48" s="102">
        <v>34</v>
      </c>
      <c r="B48" s="110" t="s">
        <v>530</v>
      </c>
      <c r="C48" s="30" t="s">
        <v>252</v>
      </c>
      <c r="D48" s="104"/>
      <c r="E48" s="33" t="s">
        <v>251</v>
      </c>
      <c r="F48" s="33" t="s">
        <v>251</v>
      </c>
      <c r="G48" s="33" t="s">
        <v>251</v>
      </c>
      <c r="H48" s="33" t="s">
        <v>251</v>
      </c>
    </row>
    <row r="50" spans="1:9">
      <c r="A50" s="72"/>
      <c r="B50" s="72" t="s">
        <v>39</v>
      </c>
      <c r="C50" s="72" t="s">
        <v>268</v>
      </c>
      <c r="D50" s="72" t="e">
        <f>IF(OR(D53="na",D52="na"),"na",IF(OR(D53="nd",D52="nd"),"nd",D53*100/D52))</f>
        <v>#DIV/0!</v>
      </c>
      <c r="E50" s="72" t="str">
        <f>IF(OR(E53="na",E52="na"),"na",IF(OR(E53="nd",E52="nd"),"nd",E53*100/E52))</f>
        <v>na</v>
      </c>
      <c r="F50" s="72" t="str">
        <f>IF(OR(F53="na",F52="na"),"na",IF(OR(F53="nd",F52="nd"),"nd",F53*100/F52))</f>
        <v>na</v>
      </c>
      <c r="G50" s="72" t="str">
        <f>IF(OR(G53="na",G52="na"),"na",IF(OR(G53="nd",G52="nd"),"nd",G53*100/G52))</f>
        <v>na</v>
      </c>
      <c r="H50" s="72" t="str">
        <f>IF(OR(H53="na",H52="na"),"na",IF(OR(H53="nd",H52="nd"),"nd",H53*100/H52))</f>
        <v>na</v>
      </c>
    </row>
    <row r="51" spans="1:9">
      <c r="A51" s="108"/>
      <c r="B51" s="108" t="s">
        <v>531</v>
      </c>
      <c r="C51" s="61" t="s">
        <v>258</v>
      </c>
      <c r="D51" s="271" t="str">
        <f>'General Info'!D4</f>
        <v>FY 2008-2009</v>
      </c>
      <c r="E51" s="271" t="str">
        <f>'General Info'!E4</f>
        <v>FY 2009-2010</v>
      </c>
      <c r="F51" s="271" t="str">
        <f>'General Info'!F4</f>
        <v>FY 2010-2011</v>
      </c>
      <c r="G51" s="271" t="str">
        <f>'General Info'!G4</f>
        <v>FY 2011-2012</v>
      </c>
      <c r="H51" s="271" t="str">
        <f>'General Info'!H4</f>
        <v>FY 2012-2013</v>
      </c>
    </row>
    <row r="52" spans="1:9" ht="15.75" thickBot="1">
      <c r="A52" s="102">
        <v>35</v>
      </c>
      <c r="B52" s="110" t="s">
        <v>532</v>
      </c>
      <c r="C52" s="30" t="s">
        <v>271</v>
      </c>
      <c r="D52" s="31">
        <v>0</v>
      </c>
      <c r="E52" s="33" t="s">
        <v>251</v>
      </c>
      <c r="F52" s="33" t="s">
        <v>251</v>
      </c>
      <c r="G52" s="33" t="s">
        <v>251</v>
      </c>
      <c r="H52" s="33" t="s">
        <v>251</v>
      </c>
    </row>
    <row r="53" spans="1:9" ht="15.75" thickBot="1">
      <c r="A53" s="102">
        <v>36</v>
      </c>
      <c r="B53" s="110" t="s">
        <v>533</v>
      </c>
      <c r="C53" s="30" t="s">
        <v>271</v>
      </c>
      <c r="D53" s="31">
        <v>0</v>
      </c>
      <c r="E53" s="33" t="s">
        <v>251</v>
      </c>
      <c r="F53" s="33" t="s">
        <v>251</v>
      </c>
      <c r="G53" s="33" t="s">
        <v>251</v>
      </c>
      <c r="H53" s="33" t="s">
        <v>251</v>
      </c>
    </row>
    <row r="55" spans="1:9">
      <c r="A55" s="72"/>
      <c r="B55" s="72" t="s">
        <v>40</v>
      </c>
      <c r="C55" s="100" t="s">
        <v>268</v>
      </c>
      <c r="D55" s="114">
        <f>IF(OR(D58="na",D57="na"),"na",IF(OR(D58="nd",D57="nd"),"nd",D58*100/D57))</f>
        <v>100</v>
      </c>
      <c r="E55" s="114">
        <f>IF(OR(E58="na",E57="na"),"na",IF(OR(E58="nd",E57="nd"),"nd",E58*100/E57))</f>
        <v>100</v>
      </c>
      <c r="F55" s="114">
        <f>IF(OR(F58="na",F57="na"),"na",IF(OR(F58="nd",F57="nd"),"nd",F58*100/F57))</f>
        <v>100</v>
      </c>
      <c r="G55" s="114">
        <f>IF(OR(G58="na",G57="na"),"na",IF(OR(G58="nd",G57="nd"),"nd",G58*100/G57))</f>
        <v>93.442622950819668</v>
      </c>
      <c r="H55" s="114">
        <f>IF(OR(H58="na",H57="na"),"na",IF(OR(H58="nd",H57="nd"),"nd",H58*100/H57))</f>
        <v>94.533762057877809</v>
      </c>
    </row>
    <row r="56" spans="1:9">
      <c r="A56" s="108"/>
      <c r="B56" s="108" t="s">
        <v>378</v>
      </c>
      <c r="C56" s="61" t="s">
        <v>258</v>
      </c>
      <c r="D56" s="271" t="str">
        <f>'General Info'!D4</f>
        <v>FY 2008-2009</v>
      </c>
      <c r="E56" s="271" t="str">
        <f>'General Info'!E4</f>
        <v>FY 2009-2010</v>
      </c>
      <c r="F56" s="271" t="str">
        <f>'General Info'!F4</f>
        <v>FY 2010-2011</v>
      </c>
      <c r="G56" s="271" t="str">
        <f>'General Info'!G4</f>
        <v>FY 2011-2012</v>
      </c>
      <c r="H56" s="271" t="str">
        <f>'General Info'!H4</f>
        <v>FY 2012-2013</v>
      </c>
    </row>
    <row r="57" spans="1:9" ht="15.75" thickBot="1">
      <c r="A57" s="102">
        <v>37</v>
      </c>
      <c r="B57" s="115" t="s">
        <v>534</v>
      </c>
      <c r="C57" s="30" t="s">
        <v>271</v>
      </c>
      <c r="D57" s="31">
        <v>252</v>
      </c>
      <c r="E57" s="31">
        <v>120</v>
      </c>
      <c r="F57" s="31">
        <v>90</v>
      </c>
      <c r="G57" s="31">
        <v>122</v>
      </c>
      <c r="H57" s="31">
        <v>622</v>
      </c>
    </row>
    <row r="58" spans="1:9" ht="15.75" thickBot="1">
      <c r="A58" s="102">
        <v>38</v>
      </c>
      <c r="B58" s="115" t="s">
        <v>535</v>
      </c>
      <c r="C58" s="30" t="s">
        <v>271</v>
      </c>
      <c r="D58" s="31">
        <v>252</v>
      </c>
      <c r="E58" s="31">
        <v>120</v>
      </c>
      <c r="F58" s="31">
        <v>90</v>
      </c>
      <c r="G58" s="31">
        <v>114</v>
      </c>
      <c r="H58" s="31">
        <v>588</v>
      </c>
    </row>
    <row r="60" spans="1:9">
      <c r="A60" s="72"/>
      <c r="B60" s="72" t="s">
        <v>42</v>
      </c>
      <c r="C60" s="100" t="s">
        <v>268</v>
      </c>
      <c r="D60" s="114">
        <f>IF(D75="na","na",IF(OR(D75="nd",D69="nd"),"nd",D75*100/D69))</f>
        <v>70.677451971688569</v>
      </c>
      <c r="E60" s="114">
        <f>IF(E75="na","na",IF(OR(E75="nd",E69="nd"),"nd",E75*100/E69))</f>
        <v>38.359719698935898</v>
      </c>
      <c r="F60" s="114">
        <f>IF(F75="na","na",IF(OR(F75="nd",F69="nd"),"nd",F75*100/F69))</f>
        <v>66</v>
      </c>
      <c r="G60" s="114">
        <f>IF(G75="na","na",IF(OR(G75="nd",G69="nd"),"nd",G75*100/G69))</f>
        <v>63.746958637469596</v>
      </c>
      <c r="H60" s="114">
        <f>IF(H75="na","na",IF(OR(H75="nd",H69="nd"),"nd",H75*100/H69))</f>
        <v>63.746958637469596</v>
      </c>
    </row>
    <row r="61" spans="1:9">
      <c r="A61" s="108"/>
      <c r="B61" s="108" t="s">
        <v>536</v>
      </c>
      <c r="C61" s="61" t="s">
        <v>258</v>
      </c>
      <c r="D61" s="271" t="str">
        <f>'General Info'!D4</f>
        <v>FY 2008-2009</v>
      </c>
      <c r="E61" s="271" t="str">
        <f>'General Info'!E4</f>
        <v>FY 2009-2010</v>
      </c>
      <c r="F61" s="271" t="str">
        <f>'General Info'!F4</f>
        <v>FY 2010-2011</v>
      </c>
      <c r="G61" s="271" t="str">
        <f>'General Info'!G4</f>
        <v>FY 2011-2012</v>
      </c>
      <c r="H61" s="271" t="str">
        <f>'General Info'!H4</f>
        <v>FY 2012-2013</v>
      </c>
    </row>
    <row r="62" spans="1:9" ht="15.75" thickBot="1">
      <c r="A62" s="102">
        <v>39</v>
      </c>
      <c r="B62" s="110" t="s">
        <v>537</v>
      </c>
      <c r="C62" s="30" t="s">
        <v>404</v>
      </c>
      <c r="D62" s="33">
        <v>7.3</v>
      </c>
      <c r="E62" s="33">
        <v>9.5</v>
      </c>
      <c r="F62" s="33">
        <v>0</v>
      </c>
      <c r="G62" s="33">
        <v>1.19</v>
      </c>
      <c r="H62" s="33">
        <v>1.19</v>
      </c>
    </row>
    <row r="63" spans="1:9" ht="15.75" thickBot="1">
      <c r="A63" s="102">
        <v>40</v>
      </c>
      <c r="B63" s="110" t="s">
        <v>538</v>
      </c>
      <c r="C63" s="30" t="s">
        <v>404</v>
      </c>
      <c r="D63" s="104"/>
      <c r="E63" s="33">
        <v>2.84</v>
      </c>
      <c r="F63" s="33">
        <v>0</v>
      </c>
      <c r="G63" s="33">
        <v>7.79</v>
      </c>
      <c r="H63" s="33">
        <v>7.79</v>
      </c>
      <c r="I63" s="20">
        <f>IFERROR((H62+H63)/H69,0)</f>
        <v>0.36415247364152481</v>
      </c>
    </row>
    <row r="64" spans="1:9" ht="15.75" thickBot="1">
      <c r="A64" s="102">
        <v>41</v>
      </c>
      <c r="B64" s="110" t="s">
        <v>539</v>
      </c>
      <c r="C64" s="30" t="s">
        <v>404</v>
      </c>
      <c r="D64" s="33">
        <v>6.61</v>
      </c>
      <c r="E64" s="33">
        <v>7.87</v>
      </c>
      <c r="F64" s="33">
        <v>0</v>
      </c>
      <c r="G64" s="33">
        <v>8.7799999999999994</v>
      </c>
      <c r="H64" s="33">
        <v>8.7799999999999994</v>
      </c>
      <c r="I64" s="20">
        <f>IFERROR(IF(H13&gt;0,H64/H13,H64/H10),0)</f>
        <v>6.0896102094603959E-4</v>
      </c>
    </row>
    <row r="65" spans="1:9" ht="15.75" thickBot="1">
      <c r="A65" s="102">
        <v>42</v>
      </c>
      <c r="B65" s="110" t="s">
        <v>540</v>
      </c>
      <c r="C65" s="30" t="s">
        <v>404</v>
      </c>
      <c r="D65" s="104"/>
      <c r="E65" s="33">
        <v>7.0000000000000007E-2</v>
      </c>
      <c r="F65" s="33">
        <v>0</v>
      </c>
      <c r="G65" s="33">
        <v>0</v>
      </c>
      <c r="H65" s="33">
        <v>0</v>
      </c>
      <c r="I65" s="20">
        <f>IFERROR(IF(H13&gt;0,H65/H13,H65/H10),0)</f>
        <v>0</v>
      </c>
    </row>
    <row r="66" spans="1:9" ht="15.75" thickBot="1">
      <c r="A66" s="102">
        <v>43</v>
      </c>
      <c r="B66" s="110" t="s">
        <v>23</v>
      </c>
      <c r="C66" s="30" t="s">
        <v>404</v>
      </c>
      <c r="D66" s="33">
        <v>5.87</v>
      </c>
      <c r="E66" s="33">
        <v>18.13</v>
      </c>
      <c r="F66" s="33">
        <v>0</v>
      </c>
      <c r="G66" s="33">
        <v>6.9</v>
      </c>
      <c r="H66" s="33">
        <v>6.9</v>
      </c>
      <c r="I66" s="20">
        <f>IFERROR(IF(H13&gt;0,H66/H13,H66/H10),0)</f>
        <v>4.7856845609654602E-4</v>
      </c>
    </row>
    <row r="67" spans="1:9" ht="15.75" thickBot="1">
      <c r="A67" s="102">
        <v>44</v>
      </c>
      <c r="B67" s="110" t="s">
        <v>541</v>
      </c>
      <c r="C67" s="30" t="s">
        <v>404</v>
      </c>
      <c r="D67" s="104"/>
      <c r="E67" s="33">
        <v>0</v>
      </c>
      <c r="F67" s="33">
        <v>0</v>
      </c>
      <c r="G67" s="33">
        <v>0</v>
      </c>
      <c r="H67" s="33">
        <v>0</v>
      </c>
      <c r="I67" s="20">
        <f>IFERROR(H67/H69,0)</f>
        <v>0</v>
      </c>
    </row>
    <row r="68" spans="1:9" ht="15.75" thickBot="1">
      <c r="A68" s="102">
        <v>45</v>
      </c>
      <c r="B68" s="110" t="s">
        <v>542</v>
      </c>
      <c r="C68" s="30" t="s">
        <v>404</v>
      </c>
      <c r="D68" s="33">
        <v>0</v>
      </c>
      <c r="E68" s="33">
        <v>0.12</v>
      </c>
      <c r="F68" s="33">
        <v>23.5</v>
      </c>
      <c r="G68" s="33">
        <v>0</v>
      </c>
      <c r="H68" s="33">
        <v>0</v>
      </c>
      <c r="I68" s="20">
        <f>IFERROR(H68/H69,0)</f>
        <v>0</v>
      </c>
    </row>
    <row r="69" spans="1:9" ht="15.75" thickBot="1">
      <c r="A69" s="102">
        <v>46</v>
      </c>
      <c r="B69" s="282" t="s">
        <v>43</v>
      </c>
      <c r="C69" s="268" t="s">
        <v>404</v>
      </c>
      <c r="D69" s="116">
        <f>IF(OR(D62="nd",D63="nd",D64="nd",D65="nd",D66="nd",D67="nd",D68="nd"),"nd",SUM(D62:D68))</f>
        <v>19.78</v>
      </c>
      <c r="E69" s="116">
        <f>IF(OR(E62="nd",E63="nd",E64="nd",E65="nd",E66="nd",E67="nd",E68="nd"),"nd",SUM(E62:E68))</f>
        <v>38.529999999999994</v>
      </c>
      <c r="F69" s="116">
        <f>IF(OR(F62="nd",F63="nd",F64="nd",F65="nd",F66="nd",F67="nd",F68="nd"),"nd",SUM(F62:F68))</f>
        <v>23.5</v>
      </c>
      <c r="G69" s="116">
        <f>IF(OR(G62="nd",G63="nd",G64="nd",G65="nd",G66="nd",G67="nd",G68="nd"),"nd",SUM(G62:G68))</f>
        <v>24.659999999999997</v>
      </c>
      <c r="H69" s="116">
        <f>IF(OR(H62="nd",H63="nd",H64="nd",H65="nd",H66="nd",H67="nd",H68="nd"),"nd",SUM(H62:H68))</f>
        <v>24.659999999999997</v>
      </c>
    </row>
    <row r="70" spans="1:9">
      <c r="A70" s="108"/>
      <c r="B70" s="117" t="s">
        <v>543</v>
      </c>
      <c r="C70" s="61" t="s">
        <v>258</v>
      </c>
      <c r="D70" s="271" t="str">
        <f>'General Info'!D4</f>
        <v>FY 2008-2009</v>
      </c>
      <c r="E70" s="271" t="str">
        <f>'General Info'!E4</f>
        <v>FY 2009-2010</v>
      </c>
      <c r="F70" s="271" t="str">
        <f>'General Info'!F4</f>
        <v>FY 2010-2011</v>
      </c>
      <c r="G70" s="271" t="str">
        <f>'General Info'!G4</f>
        <v>FY 2011-2012</v>
      </c>
      <c r="H70" s="271" t="str">
        <f>'General Info'!H4</f>
        <v>FY 2012-2013</v>
      </c>
    </row>
    <row r="71" spans="1:9" ht="15.75" thickBot="1">
      <c r="A71" s="102">
        <v>47</v>
      </c>
      <c r="B71" s="110" t="s">
        <v>544</v>
      </c>
      <c r="C71" s="30" t="s">
        <v>404</v>
      </c>
      <c r="D71" s="33">
        <v>8.0500000000000007</v>
      </c>
      <c r="E71" s="33">
        <v>7.25</v>
      </c>
      <c r="F71" s="33">
        <v>9.0399999999999991</v>
      </c>
      <c r="G71" s="33">
        <v>7.55</v>
      </c>
      <c r="H71" s="33">
        <v>7.55</v>
      </c>
    </row>
    <row r="72" spans="1:9" ht="15.75" thickBot="1">
      <c r="A72" s="102">
        <v>48</v>
      </c>
      <c r="B72" s="110" t="s">
        <v>545</v>
      </c>
      <c r="C72" s="30" t="s">
        <v>404</v>
      </c>
      <c r="D72" s="33">
        <v>0</v>
      </c>
      <c r="E72" s="33">
        <v>14.78</v>
      </c>
      <c r="F72" s="33">
        <v>15.51</v>
      </c>
      <c r="G72" s="33">
        <v>15.72</v>
      </c>
      <c r="H72" s="33">
        <v>15.72</v>
      </c>
    </row>
    <row r="73" spans="1:9" ht="15.75" thickBot="1">
      <c r="A73" s="102">
        <v>49</v>
      </c>
      <c r="B73" s="110" t="s">
        <v>546</v>
      </c>
      <c r="C73" s="30" t="s">
        <v>404</v>
      </c>
      <c r="D73" s="33">
        <v>13.98</v>
      </c>
      <c r="E73" s="33">
        <v>0</v>
      </c>
      <c r="F73" s="33">
        <v>0</v>
      </c>
      <c r="G73" s="33">
        <v>0</v>
      </c>
      <c r="H73" s="33">
        <v>0</v>
      </c>
    </row>
    <row r="74" spans="1:9" ht="15.75" thickBot="1">
      <c r="A74" s="102">
        <v>50</v>
      </c>
      <c r="B74" s="110" t="s">
        <v>547</v>
      </c>
      <c r="C74" s="30" t="s">
        <v>404</v>
      </c>
      <c r="D74" s="33">
        <v>0</v>
      </c>
      <c r="E74" s="33">
        <v>0</v>
      </c>
      <c r="F74" s="33">
        <v>0</v>
      </c>
      <c r="G74" s="33">
        <v>0</v>
      </c>
      <c r="H74" s="33">
        <v>0</v>
      </c>
    </row>
    <row r="75" spans="1:9" ht="15.75" thickBot="1">
      <c r="A75" s="102">
        <v>51</v>
      </c>
      <c r="B75" s="282" t="s">
        <v>548</v>
      </c>
      <c r="C75" s="268" t="s">
        <v>404</v>
      </c>
      <c r="D75" s="116">
        <f>IF(AND(D72="na",D73="na",D74="na"),"na",IF(OR(D72="nd",D73="nd",D74="nd"),"nd",SUM(D72:D74)))</f>
        <v>13.98</v>
      </c>
      <c r="E75" s="116">
        <f>IF(AND(E72="na",E73="na",E74="na"),"na",IF(OR(E72="nd",E73="nd",E74="nd"),"nd",SUM(E72:E74)))</f>
        <v>14.78</v>
      </c>
      <c r="F75" s="116">
        <f>IF(AND(F72="na",F73="na",F74="na"),"na",IF(OR(F72="nd",F73="nd",F74="nd"),"nd",SUM(F72:F74)))</f>
        <v>15.51</v>
      </c>
      <c r="G75" s="116">
        <f>IF(AND(G72="na",G73="na",G74="na"),"na",IF(OR(G72="nd",G73="nd",G74="nd"),"nd",SUM(G72:G74)))</f>
        <v>15.72</v>
      </c>
      <c r="H75" s="116">
        <f>IF(AND(H72="na",H73="na",H74="na"),"na",IF(OR(H72="nd",H73="nd",H74="nd"),"nd",SUM(H72:H74)))</f>
        <v>15.72</v>
      </c>
    </row>
    <row r="77" spans="1:9">
      <c r="A77" s="72"/>
      <c r="B77" s="72" t="s">
        <v>45</v>
      </c>
      <c r="C77" s="72"/>
      <c r="D77" s="288">
        <f>D81*100/D79</f>
        <v>47.925608011444922</v>
      </c>
      <c r="E77" s="288">
        <f>IF(OR(E81="na",E79="na"),"na",IF(OR(E81="nd",E79="nd"),"nd",E81*100/E79))</f>
        <v>56.089309878213797</v>
      </c>
      <c r="F77" s="288">
        <f>IF(OR(F81="na",F79="na"),"na",IF(OR(F81="nd",F79="nd"),"nd",F81*100/F79))</f>
        <v>65.248226950354606</v>
      </c>
      <c r="G77" s="288">
        <f>IF(OR(G81="na",G79="na"),"na",IF(OR(G81="nd",G79="nd"),"nd",G81*100/G79))</f>
        <v>74.045801526717554</v>
      </c>
      <c r="H77" s="288">
        <f>IF(OR(H81="na",H79="na"),"na",IF(OR(H81="nd",H79="nd"),"nd",H81*100/H79))</f>
        <v>74.045801526717554</v>
      </c>
    </row>
    <row r="78" spans="1:9">
      <c r="A78" s="108"/>
      <c r="B78" s="117"/>
      <c r="C78" s="61" t="s">
        <v>258</v>
      </c>
      <c r="D78" s="271" t="str">
        <f>'General Info'!D4</f>
        <v>FY 2008-2009</v>
      </c>
      <c r="E78" s="271" t="str">
        <f>'General Info'!E4</f>
        <v>FY 2009-2010</v>
      </c>
      <c r="F78" s="271" t="str">
        <f>'General Info'!F4</f>
        <v>FY 2010-2011</v>
      </c>
      <c r="G78" s="271" t="str">
        <f>'General Info'!G4</f>
        <v>FY 2011-2012</v>
      </c>
      <c r="H78" s="271" t="str">
        <f>'General Info'!H4</f>
        <v>FY 2012-2013</v>
      </c>
    </row>
    <row r="79" spans="1:9" ht="15.75" thickBot="1">
      <c r="A79" s="102">
        <v>52</v>
      </c>
      <c r="B79" s="282" t="str">
        <f>$B$75</f>
        <v>Total Revenue Demand of the previous year (Current Demand of previous year)</v>
      </c>
      <c r="C79" s="268" t="s">
        <v>404</v>
      </c>
      <c r="D79" s="116">
        <f>D75</f>
        <v>13.98</v>
      </c>
      <c r="E79" s="116">
        <f>E75</f>
        <v>14.78</v>
      </c>
      <c r="F79" s="116">
        <f>F75</f>
        <v>15.51</v>
      </c>
      <c r="G79" s="116">
        <f>G75</f>
        <v>15.72</v>
      </c>
      <c r="H79" s="116">
        <f>H75</f>
        <v>15.72</v>
      </c>
    </row>
    <row r="80" spans="1:9" ht="15.75" thickBot="1">
      <c r="A80" s="102">
        <v>53</v>
      </c>
      <c r="B80" s="110" t="s">
        <v>549</v>
      </c>
      <c r="C80" s="30" t="s">
        <v>404</v>
      </c>
      <c r="D80" s="33">
        <v>3.15</v>
      </c>
      <c r="E80" s="33">
        <v>4.7</v>
      </c>
      <c r="F80" s="33">
        <v>4.9400000000000004</v>
      </c>
      <c r="G80" s="33">
        <v>2.39</v>
      </c>
      <c r="H80" s="33">
        <v>2.39</v>
      </c>
    </row>
    <row r="81" spans="1:8" ht="15.75" thickBot="1">
      <c r="A81" s="102">
        <v>54</v>
      </c>
      <c r="B81" s="110" t="s">
        <v>46</v>
      </c>
      <c r="C81" s="30" t="s">
        <v>404</v>
      </c>
      <c r="D81" s="33">
        <v>6.7</v>
      </c>
      <c r="E81" s="33">
        <v>8.2899999999999991</v>
      </c>
      <c r="F81" s="33">
        <v>10.119999999999999</v>
      </c>
      <c r="G81" s="33">
        <v>11.64</v>
      </c>
      <c r="H81" s="33">
        <v>11.64</v>
      </c>
    </row>
    <row r="83" spans="1:8">
      <c r="A83" s="841" t="s">
        <v>550</v>
      </c>
      <c r="B83" s="841"/>
      <c r="C83" s="841"/>
      <c r="D83" s="841"/>
      <c r="E83" s="841"/>
      <c r="F83" s="118"/>
      <c r="G83" s="118"/>
      <c r="H83" s="118"/>
    </row>
    <row r="84" spans="1:8">
      <c r="A84" s="72"/>
      <c r="B84" s="119" t="s">
        <v>551</v>
      </c>
      <c r="C84" s="100" t="s">
        <v>268</v>
      </c>
      <c r="D84" s="289">
        <f>D87*100/D86</f>
        <v>3.7922987164527422</v>
      </c>
      <c r="E84" s="289">
        <f>IF(E87="na","na",IF(OR(E86="nd",E87="nd"),"nd",E87*100/E86))</f>
        <v>4.2040358744394615</v>
      </c>
      <c r="F84" s="289">
        <f>IF(F87="na","na",IF(OR(F86="nd",F87="nd"),"nd",F87*100/F86))</f>
        <v>4.2040358744394615</v>
      </c>
      <c r="G84" s="289">
        <f>IF(G87="na","na",IF(OR(G86="nd",G87="nd"),"nd",G87*100/G86))</f>
        <v>0</v>
      </c>
      <c r="H84" s="289">
        <f>IF(H87="na","na",IF(OR(H86="nd",H87="nd"),"nd",H87*100/H86))</f>
        <v>7.8748370273794004</v>
      </c>
    </row>
    <row r="85" spans="1:8">
      <c r="A85" s="108"/>
      <c r="B85" s="117"/>
      <c r="C85" s="61" t="s">
        <v>258</v>
      </c>
      <c r="D85" s="271" t="str">
        <f>'General Info'!D4</f>
        <v>FY 2008-2009</v>
      </c>
      <c r="E85" s="271" t="str">
        <f>'General Info'!E4</f>
        <v>FY 2009-2010</v>
      </c>
      <c r="F85" s="271" t="str">
        <f>'General Info'!F4</f>
        <v>FY 2010-2011</v>
      </c>
      <c r="G85" s="271" t="str">
        <f>'General Info'!G4</f>
        <v>FY 2011-2012</v>
      </c>
      <c r="H85" s="271" t="str">
        <f>'General Info'!H4</f>
        <v>FY 2012-2013</v>
      </c>
    </row>
    <row r="86" spans="1:8">
      <c r="A86" s="102">
        <v>73</v>
      </c>
      <c r="B86" s="120" t="s">
        <v>552</v>
      </c>
      <c r="C86" s="30" t="s">
        <v>553</v>
      </c>
      <c r="D86" s="33">
        <v>34.28</v>
      </c>
      <c r="E86" s="33">
        <v>35.68</v>
      </c>
      <c r="F86" s="33">
        <v>35.68</v>
      </c>
      <c r="G86" s="33">
        <v>38.35</v>
      </c>
      <c r="H86" s="33">
        <v>38.35</v>
      </c>
    </row>
    <row r="87" spans="1:8">
      <c r="A87" s="102">
        <v>74</v>
      </c>
      <c r="B87" s="120" t="s">
        <v>554</v>
      </c>
      <c r="C87" s="30" t="s">
        <v>553</v>
      </c>
      <c r="D87" s="33">
        <v>1.3</v>
      </c>
      <c r="E87" s="33">
        <v>1.5</v>
      </c>
      <c r="F87" s="33">
        <v>1.5</v>
      </c>
      <c r="G87" s="33">
        <v>0</v>
      </c>
      <c r="H87" s="33">
        <v>3.02</v>
      </c>
    </row>
    <row r="88" spans="1:8">
      <c r="A88" s="842"/>
      <c r="B88" s="842"/>
      <c r="C88" s="842"/>
      <c r="D88" s="842"/>
      <c r="E88" s="842"/>
      <c r="F88" s="121"/>
      <c r="G88" s="121"/>
      <c r="H88" s="121"/>
    </row>
    <row r="89" spans="1:8">
      <c r="A89" s="72"/>
      <c r="B89" s="119" t="s">
        <v>555</v>
      </c>
      <c r="C89" s="100" t="s">
        <v>271</v>
      </c>
      <c r="D89" s="72">
        <f>IF(OR(E90="na",E91="na"),"na",IF(OR(E90="nd",E91="nd"),"nd",E90*E91))</f>
        <v>3</v>
      </c>
      <c r="E89" s="72">
        <f>IF(OR(E90="na",E91="na"),"na",IF(OR(E90="nd",E91="nd"),"nd",E90*E91))</f>
        <v>3</v>
      </c>
      <c r="F89" s="72">
        <f>IF(OR(F90="na",F91="na"),"na",IF(OR(F90="nd",F91="nd"),"nd",F90*F91))</f>
        <v>3</v>
      </c>
      <c r="G89" s="72">
        <f>IF(OR(G90="na",G91="na"),"na",IF(OR(G90="nd",G91="nd"),"nd",G90*G91))</f>
        <v>1</v>
      </c>
      <c r="H89" s="72">
        <f>IF(OR(H90="na",H91="na"),"na",IF(OR(H90="nd",H91="nd"),"nd",H90*H91))</f>
        <v>7</v>
      </c>
    </row>
    <row r="90" spans="1:8">
      <c r="A90" s="102">
        <v>75</v>
      </c>
      <c r="B90" s="120" t="s">
        <v>556</v>
      </c>
      <c r="C90" s="30" t="s">
        <v>271</v>
      </c>
      <c r="D90" s="31">
        <v>1</v>
      </c>
      <c r="E90" s="31">
        <v>3</v>
      </c>
      <c r="F90" s="31">
        <v>3</v>
      </c>
      <c r="G90" s="31">
        <v>1</v>
      </c>
      <c r="H90" s="31">
        <v>7</v>
      </c>
    </row>
    <row r="91" spans="1:8">
      <c r="A91" s="102">
        <v>76</v>
      </c>
      <c r="B91" s="120" t="s">
        <v>557</v>
      </c>
      <c r="C91" s="30" t="s">
        <v>271</v>
      </c>
      <c r="D91" s="31">
        <v>1</v>
      </c>
      <c r="E91" s="31">
        <v>1</v>
      </c>
      <c r="F91" s="31">
        <v>1</v>
      </c>
      <c r="G91" s="31">
        <v>1</v>
      </c>
      <c r="H91" s="31">
        <v>1</v>
      </c>
    </row>
    <row r="93" spans="1:8">
      <c r="A93" s="839" t="s">
        <v>415</v>
      </c>
      <c r="B93" s="839"/>
      <c r="C93" s="839"/>
      <c r="D93" s="839"/>
      <c r="E93" s="839"/>
      <c r="F93" s="80"/>
      <c r="G93" s="80"/>
      <c r="H93" s="80"/>
    </row>
    <row r="94" spans="1:8">
      <c r="A94" s="108"/>
      <c r="B94" s="108" t="s">
        <v>416</v>
      </c>
      <c r="C94" s="61" t="s">
        <v>258</v>
      </c>
      <c r="D94" s="271" t="str">
        <f>'General Info'!D4</f>
        <v>FY 2008-2009</v>
      </c>
      <c r="E94" s="271" t="str">
        <f>'General Info'!E4</f>
        <v>FY 2009-2010</v>
      </c>
      <c r="F94" s="271" t="str">
        <f>'General Info'!F4</f>
        <v>FY 2010-2011</v>
      </c>
      <c r="G94" s="271" t="str">
        <f>'General Info'!G4</f>
        <v>FY 2011-2012</v>
      </c>
      <c r="H94" s="271" t="str">
        <f>'General Info'!H4</f>
        <v>FY 2012-2013</v>
      </c>
    </row>
    <row r="95" spans="1:8">
      <c r="A95" s="57">
        <v>77</v>
      </c>
      <c r="B95" s="82" t="s">
        <v>417</v>
      </c>
      <c r="C95" s="30" t="s">
        <v>271</v>
      </c>
      <c r="D95" s="82"/>
      <c r="E95" s="122">
        <v>1</v>
      </c>
      <c r="F95" s="122">
        <v>1</v>
      </c>
      <c r="G95" s="122">
        <v>0</v>
      </c>
      <c r="H95" s="122">
        <v>0</v>
      </c>
    </row>
    <row r="96" spans="1:8">
      <c r="A96" s="57">
        <v>78</v>
      </c>
      <c r="B96" s="82" t="s">
        <v>418</v>
      </c>
      <c r="C96" s="30" t="s">
        <v>271</v>
      </c>
      <c r="D96" s="82"/>
      <c r="E96" s="122">
        <v>0</v>
      </c>
      <c r="F96" s="122">
        <v>0</v>
      </c>
      <c r="G96" s="122">
        <v>0</v>
      </c>
      <c r="H96" s="122">
        <v>0</v>
      </c>
    </row>
    <row r="97" spans="1:8">
      <c r="A97" s="57">
        <v>79</v>
      </c>
      <c r="B97" s="82" t="s">
        <v>419</v>
      </c>
      <c r="C97" s="30" t="s">
        <v>271</v>
      </c>
      <c r="D97" s="82"/>
      <c r="E97" s="122">
        <v>1</v>
      </c>
      <c r="F97" s="122">
        <v>1</v>
      </c>
      <c r="G97" s="122">
        <v>1</v>
      </c>
      <c r="H97" s="122">
        <v>1</v>
      </c>
    </row>
    <row r="98" spans="1:8">
      <c r="A98" s="57">
        <v>80</v>
      </c>
      <c r="B98" s="82" t="s">
        <v>420</v>
      </c>
      <c r="C98" s="30" t="s">
        <v>271</v>
      </c>
      <c r="D98" s="82"/>
      <c r="E98" s="122">
        <v>0</v>
      </c>
      <c r="F98" s="122">
        <v>0</v>
      </c>
      <c r="G98" s="122">
        <v>1</v>
      </c>
      <c r="H98" s="122">
        <v>1</v>
      </c>
    </row>
    <row r="99" spans="1:8">
      <c r="A99" s="57">
        <v>81</v>
      </c>
      <c r="B99" s="82" t="s">
        <v>421</v>
      </c>
      <c r="C99" s="30" t="s">
        <v>271</v>
      </c>
      <c r="D99" s="82"/>
      <c r="E99" s="122">
        <v>1</v>
      </c>
      <c r="F99" s="122">
        <v>1</v>
      </c>
      <c r="G99" s="122">
        <v>1</v>
      </c>
      <c r="H99" s="122">
        <v>1</v>
      </c>
    </row>
    <row r="100" spans="1:8">
      <c r="A100" s="57">
        <v>82</v>
      </c>
      <c r="B100" s="82" t="s">
        <v>422</v>
      </c>
      <c r="C100" s="30" t="s">
        <v>271</v>
      </c>
      <c r="D100" s="82"/>
      <c r="E100" s="122">
        <v>0</v>
      </c>
      <c r="F100" s="122">
        <v>0</v>
      </c>
      <c r="G100" s="122">
        <v>1</v>
      </c>
      <c r="H100" s="122">
        <v>1</v>
      </c>
    </row>
    <row r="101" spans="1:8">
      <c r="A101" s="57">
        <v>83</v>
      </c>
      <c r="B101" s="82" t="s">
        <v>558</v>
      </c>
      <c r="C101" s="30" t="s">
        <v>271</v>
      </c>
      <c r="D101" s="82"/>
      <c r="E101" s="122">
        <v>12</v>
      </c>
      <c r="F101" s="122">
        <v>12</v>
      </c>
      <c r="G101" s="122">
        <v>12</v>
      </c>
      <c r="H101" s="122">
        <v>12</v>
      </c>
    </row>
    <row r="102" spans="1:8">
      <c r="A102" s="57">
        <v>84</v>
      </c>
      <c r="B102" s="82" t="s">
        <v>559</v>
      </c>
      <c r="C102" s="30" t="s">
        <v>271</v>
      </c>
      <c r="D102" s="82"/>
      <c r="E102" s="122">
        <v>5</v>
      </c>
      <c r="F102" s="122">
        <v>5</v>
      </c>
      <c r="G102" s="122">
        <v>12</v>
      </c>
      <c r="H102" s="122">
        <v>12</v>
      </c>
    </row>
    <row r="103" spans="1:8">
      <c r="A103" s="57">
        <v>85</v>
      </c>
      <c r="B103" s="82" t="s">
        <v>431</v>
      </c>
      <c r="C103" s="30" t="s">
        <v>271</v>
      </c>
      <c r="D103" s="82">
        <f t="shared" ref="D103:H104" si="1">IF(AND(D95="na",D97="na",D99="na",D101="na"),"na",IF(OR(D95="nd",D97="nd",D99="nd",D101="nd"),"nd",SUM(D95,D97,D99,D101)))</f>
        <v>0</v>
      </c>
      <c r="E103" s="82">
        <f t="shared" si="1"/>
        <v>15</v>
      </c>
      <c r="F103" s="82">
        <f t="shared" si="1"/>
        <v>15</v>
      </c>
      <c r="G103" s="82">
        <f t="shared" si="1"/>
        <v>14</v>
      </c>
      <c r="H103" s="82">
        <f t="shared" si="1"/>
        <v>14</v>
      </c>
    </row>
    <row r="104" spans="1:8">
      <c r="A104" s="57">
        <v>86</v>
      </c>
      <c r="B104" s="82" t="s">
        <v>432</v>
      </c>
      <c r="C104" s="30" t="s">
        <v>271</v>
      </c>
      <c r="D104" s="82">
        <f t="shared" si="1"/>
        <v>0</v>
      </c>
      <c r="E104" s="82">
        <f t="shared" si="1"/>
        <v>5</v>
      </c>
      <c r="F104" s="82">
        <f t="shared" si="1"/>
        <v>5</v>
      </c>
      <c r="G104" s="82">
        <f t="shared" si="1"/>
        <v>14</v>
      </c>
      <c r="H104" s="82">
        <f t="shared" si="1"/>
        <v>14</v>
      </c>
    </row>
    <row r="105" spans="1:8" ht="21">
      <c r="A105" s="108"/>
      <c r="B105" s="108" t="s">
        <v>560</v>
      </c>
      <c r="C105" s="108"/>
      <c r="D105" s="108"/>
      <c r="E105" s="108"/>
      <c r="F105" s="123"/>
      <c r="G105" s="123"/>
      <c r="H105" s="123"/>
    </row>
    <row r="106" spans="1:8">
      <c r="A106" s="102">
        <v>87</v>
      </c>
      <c r="B106" s="82" t="s">
        <v>561</v>
      </c>
      <c r="C106" s="30" t="s">
        <v>562</v>
      </c>
      <c r="D106" s="82"/>
      <c r="E106" s="124" t="s">
        <v>563</v>
      </c>
      <c r="F106" s="124" t="s">
        <v>563</v>
      </c>
      <c r="G106" s="124" t="s">
        <v>563</v>
      </c>
      <c r="H106" s="124" t="s">
        <v>563</v>
      </c>
    </row>
    <row r="107" spans="1:8">
      <c r="A107" s="102">
        <v>88</v>
      </c>
      <c r="B107" s="82" t="s">
        <v>564</v>
      </c>
      <c r="C107" s="30" t="s">
        <v>271</v>
      </c>
      <c r="D107" s="82"/>
      <c r="E107" s="122">
        <v>1</v>
      </c>
      <c r="F107" s="122">
        <v>1</v>
      </c>
      <c r="G107" s="122">
        <v>1</v>
      </c>
      <c r="H107" s="122">
        <v>2</v>
      </c>
    </row>
    <row r="108" spans="1:8">
      <c r="A108" s="102">
        <v>89</v>
      </c>
      <c r="B108" s="82" t="s">
        <v>565</v>
      </c>
      <c r="C108" s="30" t="s">
        <v>271</v>
      </c>
      <c r="D108" s="82"/>
      <c r="E108" s="122">
        <v>0</v>
      </c>
      <c r="F108" s="122">
        <v>0</v>
      </c>
      <c r="G108" s="122">
        <v>0</v>
      </c>
      <c r="H108" s="122">
        <v>0</v>
      </c>
    </row>
    <row r="109" spans="1:8">
      <c r="A109" s="102"/>
      <c r="B109" s="102"/>
      <c r="C109" s="102"/>
      <c r="D109" s="102"/>
      <c r="E109" s="102"/>
      <c r="F109" s="102"/>
      <c r="G109" s="102"/>
      <c r="H109" s="102"/>
    </row>
    <row r="110" spans="1:8">
      <c r="B110" s="125" t="s">
        <v>566</v>
      </c>
      <c r="C110" s="126"/>
      <c r="D110" s="126"/>
      <c r="E110" s="126"/>
      <c r="F110" s="126"/>
      <c r="G110" s="126"/>
      <c r="H110" s="126"/>
    </row>
    <row r="111" spans="1:8">
      <c r="A111" s="102">
        <v>90</v>
      </c>
      <c r="B111" s="82" t="s">
        <v>434</v>
      </c>
      <c r="C111" s="30" t="s">
        <v>435</v>
      </c>
      <c r="D111" s="82"/>
      <c r="E111" s="124">
        <v>250</v>
      </c>
      <c r="F111" s="124">
        <v>250</v>
      </c>
      <c r="G111" s="124">
        <v>250</v>
      </c>
      <c r="H111" s="124">
        <v>250</v>
      </c>
    </row>
    <row r="112" spans="1:8">
      <c r="A112" s="102">
        <v>91</v>
      </c>
      <c r="B112" s="82" t="s">
        <v>436</v>
      </c>
      <c r="C112" s="30" t="s">
        <v>435</v>
      </c>
      <c r="D112" s="82"/>
      <c r="E112" s="124">
        <v>250</v>
      </c>
      <c r="F112" s="124">
        <v>250</v>
      </c>
      <c r="G112" s="124">
        <v>250</v>
      </c>
      <c r="H112" s="124">
        <v>250</v>
      </c>
    </row>
    <row r="113" spans="1:8">
      <c r="A113" s="102">
        <v>92</v>
      </c>
      <c r="B113" s="82" t="s">
        <v>437</v>
      </c>
      <c r="C113" s="30" t="s">
        <v>435</v>
      </c>
      <c r="D113" s="82"/>
      <c r="E113" s="124">
        <v>250</v>
      </c>
      <c r="F113" s="124">
        <v>250</v>
      </c>
      <c r="G113" s="124">
        <v>250</v>
      </c>
      <c r="H113" s="124">
        <v>250</v>
      </c>
    </row>
    <row r="114" spans="1:8">
      <c r="A114" s="102">
        <v>93</v>
      </c>
      <c r="B114" s="82" t="s">
        <v>438</v>
      </c>
      <c r="C114" s="30" t="s">
        <v>435</v>
      </c>
      <c r="D114" s="82"/>
      <c r="E114" s="124">
        <v>250</v>
      </c>
      <c r="F114" s="124">
        <v>250</v>
      </c>
      <c r="G114" s="124">
        <v>250</v>
      </c>
      <c r="H114" s="124">
        <v>250</v>
      </c>
    </row>
    <row r="115" spans="1:8">
      <c r="A115" s="102">
        <v>94</v>
      </c>
      <c r="B115" s="82" t="s">
        <v>439</v>
      </c>
      <c r="C115" s="30" t="s">
        <v>435</v>
      </c>
      <c r="D115" s="82"/>
      <c r="E115" s="124">
        <v>250</v>
      </c>
      <c r="F115" s="124">
        <v>250</v>
      </c>
      <c r="G115" s="124">
        <v>250</v>
      </c>
      <c r="H115" s="124">
        <v>250</v>
      </c>
    </row>
    <row r="116" spans="1:8">
      <c r="A116" s="102"/>
      <c r="B116" s="127" t="s">
        <v>567</v>
      </c>
      <c r="C116" s="126"/>
      <c r="D116" s="126"/>
      <c r="E116" s="126"/>
      <c r="F116" s="126"/>
      <c r="G116" s="126"/>
      <c r="H116" s="126"/>
    </row>
    <row r="117" spans="1:8">
      <c r="A117" s="102">
        <v>95</v>
      </c>
      <c r="B117" s="82" t="s">
        <v>434</v>
      </c>
      <c r="C117" s="30" t="s">
        <v>441</v>
      </c>
      <c r="D117" s="82"/>
      <c r="E117" s="33" t="s">
        <v>250</v>
      </c>
      <c r="F117" s="33" t="s">
        <v>250</v>
      </c>
      <c r="G117" s="124">
        <v>12.5</v>
      </c>
      <c r="H117" s="124">
        <v>12.5</v>
      </c>
    </row>
    <row r="118" spans="1:8">
      <c r="A118" s="102">
        <v>96</v>
      </c>
      <c r="B118" s="82" t="s">
        <v>436</v>
      </c>
      <c r="C118" s="30" t="s">
        <v>441</v>
      </c>
      <c r="D118" s="82"/>
      <c r="E118" s="33" t="s">
        <v>250</v>
      </c>
      <c r="F118" s="33" t="s">
        <v>250</v>
      </c>
      <c r="G118" s="124">
        <v>12.5</v>
      </c>
      <c r="H118" s="124">
        <v>12.5</v>
      </c>
    </row>
    <row r="119" spans="1:8">
      <c r="A119" s="102">
        <v>97</v>
      </c>
      <c r="B119" s="82" t="s">
        <v>437</v>
      </c>
      <c r="C119" s="30" t="s">
        <v>441</v>
      </c>
      <c r="D119" s="82"/>
      <c r="E119" s="33" t="s">
        <v>250</v>
      </c>
      <c r="F119" s="33" t="s">
        <v>250</v>
      </c>
      <c r="G119" s="124">
        <v>25</v>
      </c>
      <c r="H119" s="124">
        <v>12.5</v>
      </c>
    </row>
    <row r="120" spans="1:8">
      <c r="A120" s="102">
        <v>98</v>
      </c>
      <c r="B120" s="82" t="s">
        <v>438</v>
      </c>
      <c r="C120" s="30" t="s">
        <v>441</v>
      </c>
      <c r="D120" s="82"/>
      <c r="E120" s="33" t="s">
        <v>250</v>
      </c>
      <c r="F120" s="33" t="s">
        <v>250</v>
      </c>
      <c r="G120" s="124">
        <v>25</v>
      </c>
      <c r="H120" s="124">
        <v>25</v>
      </c>
    </row>
    <row r="121" spans="1:8">
      <c r="A121" s="102">
        <v>99</v>
      </c>
      <c r="B121" s="82" t="s">
        <v>439</v>
      </c>
      <c r="C121" s="30" t="s">
        <v>441</v>
      </c>
      <c r="D121" s="82"/>
      <c r="E121" s="33" t="s">
        <v>250</v>
      </c>
      <c r="F121" s="33" t="s">
        <v>250</v>
      </c>
      <c r="G121" s="124">
        <v>41.66</v>
      </c>
      <c r="H121" s="124">
        <v>41.66</v>
      </c>
    </row>
    <row r="122" spans="1:8">
      <c r="A122" s="102"/>
      <c r="B122" s="127" t="s">
        <v>568</v>
      </c>
      <c r="C122" s="126"/>
      <c r="D122" s="126"/>
      <c r="E122" s="126"/>
      <c r="F122" s="126"/>
      <c r="G122" s="126"/>
      <c r="H122" s="126"/>
    </row>
    <row r="123" spans="1:8">
      <c r="A123" s="102">
        <v>100</v>
      </c>
      <c r="B123" s="82" t="s">
        <v>434</v>
      </c>
      <c r="C123" s="30" t="s">
        <v>443</v>
      </c>
      <c r="D123" s="82"/>
      <c r="E123" s="33" t="s">
        <v>251</v>
      </c>
      <c r="F123" s="33" t="s">
        <v>251</v>
      </c>
      <c r="G123" s="33" t="s">
        <v>251</v>
      </c>
      <c r="H123" s="33" t="s">
        <v>251</v>
      </c>
    </row>
    <row r="124" spans="1:8">
      <c r="A124" s="102">
        <v>101</v>
      </c>
      <c r="B124" s="82" t="s">
        <v>436</v>
      </c>
      <c r="C124" s="30" t="s">
        <v>443</v>
      </c>
      <c r="D124" s="82"/>
      <c r="E124" s="33" t="s">
        <v>251</v>
      </c>
      <c r="F124" s="33" t="s">
        <v>251</v>
      </c>
      <c r="G124" s="33" t="s">
        <v>251</v>
      </c>
      <c r="H124" s="33" t="s">
        <v>251</v>
      </c>
    </row>
    <row r="125" spans="1:8">
      <c r="A125" s="102">
        <v>102</v>
      </c>
      <c r="B125" s="82" t="s">
        <v>437</v>
      </c>
      <c r="C125" s="30" t="s">
        <v>443</v>
      </c>
      <c r="D125" s="82"/>
      <c r="E125" s="33" t="s">
        <v>251</v>
      </c>
      <c r="F125" s="33" t="s">
        <v>251</v>
      </c>
      <c r="G125" s="33" t="s">
        <v>251</v>
      </c>
      <c r="H125" s="33" t="s">
        <v>251</v>
      </c>
    </row>
    <row r="126" spans="1:8">
      <c r="A126" s="102">
        <v>103</v>
      </c>
      <c r="B126" s="82" t="s">
        <v>438</v>
      </c>
      <c r="C126" s="30" t="s">
        <v>443</v>
      </c>
      <c r="D126" s="82"/>
      <c r="E126" s="33" t="s">
        <v>251</v>
      </c>
      <c r="F126" s="33" t="s">
        <v>251</v>
      </c>
      <c r="G126" s="33" t="s">
        <v>251</v>
      </c>
      <c r="H126" s="33" t="s">
        <v>251</v>
      </c>
    </row>
    <row r="127" spans="1:8">
      <c r="A127" s="102">
        <v>104</v>
      </c>
      <c r="B127" s="82" t="s">
        <v>439</v>
      </c>
      <c r="C127" s="30" t="s">
        <v>443</v>
      </c>
      <c r="D127" s="82"/>
      <c r="E127" s="33" t="s">
        <v>251</v>
      </c>
      <c r="F127" s="33" t="s">
        <v>251</v>
      </c>
      <c r="G127" s="33" t="s">
        <v>251</v>
      </c>
      <c r="H127" s="33" t="s">
        <v>251</v>
      </c>
    </row>
    <row r="130" spans="1:8">
      <c r="A130" s="86" t="s">
        <v>256</v>
      </c>
      <c r="B130" s="128" t="s">
        <v>569</v>
      </c>
      <c r="C130" s="129" t="s">
        <v>258</v>
      </c>
      <c r="D130" s="292" t="str">
        <f>'General Info'!D4</f>
        <v>FY 2008-2009</v>
      </c>
      <c r="E130" s="292" t="str">
        <f>'General Info'!E4</f>
        <v>FY 2009-2010</v>
      </c>
      <c r="F130" s="292" t="str">
        <f>'General Info'!F4</f>
        <v>FY 2010-2011</v>
      </c>
      <c r="G130" s="292" t="str">
        <f>'General Info'!G4</f>
        <v>FY 2011-2012</v>
      </c>
      <c r="H130" s="292" t="str">
        <f>'General Info'!H4</f>
        <v>FY 2012-2013</v>
      </c>
    </row>
    <row r="131" spans="1:8">
      <c r="A131" s="89">
        <v>1</v>
      </c>
      <c r="B131" s="96" t="s">
        <v>29</v>
      </c>
      <c r="C131" s="30" t="s">
        <v>268</v>
      </c>
      <c r="D131" s="130">
        <f>D5</f>
        <v>0</v>
      </c>
      <c r="E131" s="130">
        <f>E5</f>
        <v>98.647298439781721</v>
      </c>
      <c r="F131" s="130">
        <f>F5</f>
        <v>98.684800478254374</v>
      </c>
      <c r="G131" s="130">
        <f>G5</f>
        <v>90.809313037532831</v>
      </c>
      <c r="H131" s="130">
        <f>H5</f>
        <v>90.402802101576185</v>
      </c>
    </row>
    <row r="132" spans="1:8">
      <c r="A132" s="89">
        <f>A131+1</f>
        <v>2</v>
      </c>
      <c r="B132" s="96" t="s">
        <v>27</v>
      </c>
      <c r="C132" s="30" t="s">
        <v>268</v>
      </c>
      <c r="D132" s="130">
        <f>D11</f>
        <v>0</v>
      </c>
      <c r="E132" s="130">
        <f>E11</f>
        <v>26.961801552532471</v>
      </c>
      <c r="F132" s="130">
        <f>F11</f>
        <v>26.214317740248095</v>
      </c>
      <c r="G132" s="130">
        <f>G11</f>
        <v>26.010291842095793</v>
      </c>
      <c r="H132" s="130">
        <f>H11</f>
        <v>50.500875656742558</v>
      </c>
    </row>
    <row r="133" spans="1:8">
      <c r="A133" s="89">
        <f>A132+1</f>
        <v>3</v>
      </c>
      <c r="B133" s="96" t="s">
        <v>30</v>
      </c>
      <c r="C133" s="30" t="s">
        <v>268</v>
      </c>
      <c r="D133" s="130">
        <f>D15</f>
        <v>0</v>
      </c>
      <c r="E133" s="130">
        <f>E15</f>
        <v>3.223865199449794</v>
      </c>
      <c r="F133" s="130">
        <f>F15</f>
        <v>3.1487908643081055</v>
      </c>
      <c r="G133" s="130">
        <f>G15</f>
        <v>4.0221008696931246</v>
      </c>
      <c r="H133" s="130" t="str">
        <f>H15</f>
        <v>na</v>
      </c>
    </row>
    <row r="134" spans="1:8">
      <c r="A134" s="89">
        <f>A133+1</f>
        <v>4</v>
      </c>
      <c r="B134" s="96" t="s">
        <v>31</v>
      </c>
      <c r="C134" s="30" t="s">
        <v>268</v>
      </c>
      <c r="D134" s="130">
        <f>D40</f>
        <v>0</v>
      </c>
      <c r="E134" s="130" t="str">
        <f>E40</f>
        <v>na</v>
      </c>
      <c r="F134" s="130" t="str">
        <f>F40</f>
        <v>na</v>
      </c>
      <c r="G134" s="130" t="str">
        <f>G40</f>
        <v>na</v>
      </c>
      <c r="H134" s="130" t="str">
        <f>H40</f>
        <v>na</v>
      </c>
    </row>
    <row r="135" spans="1:8">
      <c r="A135" s="89">
        <v>5</v>
      </c>
      <c r="B135" s="96" t="s">
        <v>570</v>
      </c>
      <c r="C135" s="30" t="s">
        <v>268</v>
      </c>
      <c r="D135" s="130" t="e">
        <f>D46</f>
        <v>#DIV/0!</v>
      </c>
      <c r="E135" s="130" t="str">
        <f>E46</f>
        <v>na</v>
      </c>
      <c r="F135" s="130" t="str">
        <f>F46</f>
        <v>na</v>
      </c>
      <c r="G135" s="130" t="str">
        <f>G46</f>
        <v>na</v>
      </c>
      <c r="H135" s="130" t="str">
        <f>H46</f>
        <v>na</v>
      </c>
    </row>
    <row r="136" spans="1:8">
      <c r="A136" s="89">
        <v>6</v>
      </c>
      <c r="B136" s="96" t="s">
        <v>571</v>
      </c>
      <c r="C136" s="30" t="s">
        <v>268</v>
      </c>
      <c r="D136" s="130" t="e">
        <f>D50</f>
        <v>#DIV/0!</v>
      </c>
      <c r="E136" s="130" t="str">
        <f>E50</f>
        <v>na</v>
      </c>
      <c r="F136" s="130" t="str">
        <f>F50</f>
        <v>na</v>
      </c>
      <c r="G136" s="130" t="str">
        <f>G50</f>
        <v>na</v>
      </c>
      <c r="H136" s="130" t="str">
        <f>H50</f>
        <v>na</v>
      </c>
    </row>
    <row r="137" spans="1:8">
      <c r="A137" s="89">
        <v>7</v>
      </c>
      <c r="B137" s="96" t="s">
        <v>572</v>
      </c>
      <c r="C137" s="30" t="s">
        <v>268</v>
      </c>
      <c r="D137" s="130">
        <f>D55</f>
        <v>100</v>
      </c>
      <c r="E137" s="130">
        <f>E55</f>
        <v>100</v>
      </c>
      <c r="F137" s="130">
        <f>F55</f>
        <v>100</v>
      </c>
      <c r="G137" s="130">
        <f>G55</f>
        <v>93.442622950819668</v>
      </c>
      <c r="H137" s="130">
        <f>H55</f>
        <v>94.533762057877809</v>
      </c>
    </row>
    <row r="138" spans="1:8">
      <c r="A138" s="89">
        <v>8</v>
      </c>
      <c r="B138" s="96" t="s">
        <v>573</v>
      </c>
      <c r="C138" s="30" t="s">
        <v>268</v>
      </c>
      <c r="D138" s="130">
        <f>D60</f>
        <v>70.677451971688569</v>
      </c>
      <c r="E138" s="130">
        <f>E60</f>
        <v>38.359719698935898</v>
      </c>
      <c r="F138" s="130">
        <f>F60</f>
        <v>66</v>
      </c>
      <c r="G138" s="130">
        <f>G60</f>
        <v>63.746958637469596</v>
      </c>
      <c r="H138" s="130">
        <f>H60</f>
        <v>63.746958637469596</v>
      </c>
    </row>
    <row r="139" spans="1:8">
      <c r="A139" s="89">
        <f>A138+1</f>
        <v>9</v>
      </c>
      <c r="B139" s="96" t="s">
        <v>574</v>
      </c>
      <c r="C139" s="30" t="s">
        <v>268</v>
      </c>
      <c r="D139" s="130">
        <f>D77</f>
        <v>47.925608011444922</v>
      </c>
      <c r="E139" s="130">
        <f>E77</f>
        <v>56.089309878213797</v>
      </c>
      <c r="F139" s="130">
        <f>F77</f>
        <v>65.248226950354606</v>
      </c>
      <c r="G139" s="130">
        <f>G77</f>
        <v>74.045801526717554</v>
      </c>
      <c r="H139" s="130">
        <f>H77</f>
        <v>74.045801526717554</v>
      </c>
    </row>
    <row r="140" spans="1:8">
      <c r="A140" s="86" t="s">
        <v>256</v>
      </c>
      <c r="B140" s="131" t="s">
        <v>575</v>
      </c>
      <c r="C140" s="129" t="s">
        <v>258</v>
      </c>
      <c r="D140" s="292" t="str">
        <f>'General Info'!D4</f>
        <v>FY 2008-2009</v>
      </c>
      <c r="E140" s="292" t="str">
        <f>'General Info'!E4</f>
        <v>FY 2009-2010</v>
      </c>
      <c r="F140" s="292" t="str">
        <f>'General Info'!F4</f>
        <v>FY 2010-2011</v>
      </c>
      <c r="G140" s="292" t="str">
        <f>'General Info'!G4</f>
        <v>FY 2011-2012</v>
      </c>
      <c r="H140" s="292" t="str">
        <f>'General Info'!H4</f>
        <v>FY 2012-2013</v>
      </c>
    </row>
    <row r="141" spans="1:8">
      <c r="A141" s="89">
        <v>1</v>
      </c>
      <c r="B141" s="96" t="s">
        <v>576</v>
      </c>
      <c r="C141" s="30" t="s">
        <v>268</v>
      </c>
      <c r="D141" s="130">
        <f>D84</f>
        <v>3.7922987164527422</v>
      </c>
      <c r="E141" s="130">
        <f>E84</f>
        <v>4.2040358744394615</v>
      </c>
      <c r="F141" s="130">
        <f>F84</f>
        <v>4.2040358744394615</v>
      </c>
      <c r="G141" s="130">
        <f>G84</f>
        <v>0</v>
      </c>
      <c r="H141" s="130">
        <f>H84</f>
        <v>7.8748370273794004</v>
      </c>
    </row>
    <row r="142" spans="1:8">
      <c r="A142" s="89">
        <v>2</v>
      </c>
      <c r="B142" s="96" t="s">
        <v>577</v>
      </c>
      <c r="C142" s="30" t="s">
        <v>271</v>
      </c>
      <c r="D142" s="130">
        <f>D89</f>
        <v>3</v>
      </c>
      <c r="E142" s="130">
        <f>E89</f>
        <v>3</v>
      </c>
      <c r="F142" s="130">
        <f>F89</f>
        <v>3</v>
      </c>
      <c r="G142" s="130">
        <f>G89</f>
        <v>1</v>
      </c>
      <c r="H142" s="130">
        <f>H89</f>
        <v>7</v>
      </c>
    </row>
    <row r="144" spans="1:8">
      <c r="A144" s="86" t="s">
        <v>256</v>
      </c>
      <c r="B144" s="132" t="s">
        <v>578</v>
      </c>
      <c r="C144" s="133"/>
      <c r="D144" s="292" t="str">
        <f>'General Info'!D4</f>
        <v>FY 2008-2009</v>
      </c>
      <c r="E144" s="292" t="str">
        <f>'General Info'!E4</f>
        <v>FY 2009-2010</v>
      </c>
      <c r="F144" s="292" t="str">
        <f>'General Info'!F4</f>
        <v>FY 2010-2011</v>
      </c>
      <c r="G144" s="292" t="str">
        <f>'General Info'!G4</f>
        <v>FY 2011-2012</v>
      </c>
      <c r="H144" s="292" t="str">
        <f>'General Info'!H4</f>
        <v>FY 2012-2013</v>
      </c>
    </row>
    <row r="145" spans="1:8">
      <c r="A145" s="134" t="s">
        <v>579</v>
      </c>
      <c r="B145" s="135" t="s">
        <v>111</v>
      </c>
      <c r="C145" s="97"/>
      <c r="D145" s="136"/>
      <c r="E145" s="137"/>
      <c r="F145" s="137"/>
      <c r="G145" s="137"/>
      <c r="H145" s="137"/>
    </row>
    <row r="146" spans="1:8">
      <c r="A146" s="89">
        <v>1</v>
      </c>
      <c r="B146" s="96" t="s">
        <v>29</v>
      </c>
      <c r="C146" s="97"/>
      <c r="D146" s="137"/>
      <c r="E146" s="138" t="e">
        <f>IF(AND([5]Reliability!D29="Y",[5]Reliability!D14="Y",OR([5]Reliability!D29="Y",[5]Reliability!D30="Y")),"A",IF(AND(sewerage!D10&gt;0,[5]Reliability!D29="N",[5]Reliability!D30="N"),"C","D"))</f>
        <v>#REF!</v>
      </c>
      <c r="F146" s="138" t="e">
        <f>IF(AND([5]Reliability!E29="Y",[5]Reliability!E14="Y",OR([5]Reliability!E29="Y",[5]Reliability!E30="Y")),"A",IF(AND(sewerage!E10&gt;0,[5]Reliability!E29="N",[5]Reliability!E30="N"),"C","D"))</f>
        <v>#REF!</v>
      </c>
      <c r="G146" s="138" t="e">
        <f>IF(AND([5]Reliability!F29="Y",[5]Reliability!F14="Y",OR([5]Reliability!F29="Y",[5]Reliability!F30="Y")),"A",IF(AND(sewerage!F10&gt;0,[5]Reliability!F29="N",[5]Reliability!F30="N"),"C","D"))</f>
        <v>#REF!</v>
      </c>
      <c r="H146" s="138" t="e">
        <f>IF(AND([5]Reliability!G29="Y",[5]Reliability!G14="Y",OR([5]Reliability!G29="Y",[5]Reliability!G30="Y")),"A",IF(AND(sewerage!G10&gt;0,[5]Reliability!G29="N",[5]Reliability!G30="N"),"C","D"))</f>
        <v>#REF!</v>
      </c>
    </row>
    <row r="147" spans="1:8">
      <c r="A147" s="89">
        <f t="shared" ref="A147:A154" si="2">A146+1</f>
        <v>2</v>
      </c>
      <c r="B147" s="96" t="s">
        <v>27</v>
      </c>
      <c r="C147" s="97"/>
      <c r="D147" s="137"/>
      <c r="E147" s="138" t="e">
        <f>IF(AND([5]Reliability!D17="Y",OR([5]Reliability!D31="Y",[5]Reliability!D32="Y")),"A",IF([5]Reliability!D19="Y","B",IF([5]Reliability!D22="Y","C","D")))</f>
        <v>#REF!</v>
      </c>
      <c r="F147" s="138" t="e">
        <f>IF(AND([5]Reliability!E17="Y",OR([5]Reliability!E31="Y",[5]Reliability!E32="Y")),"A",IF([5]Reliability!E19="Y","B",IF([5]Reliability!E22="Y","C","D")))</f>
        <v>#REF!</v>
      </c>
      <c r="G147" s="138" t="e">
        <f>IF(AND([5]Reliability!F17="Y",OR([5]Reliability!F31="Y",[5]Reliability!F32="Y")),"A",IF([5]Reliability!F19="Y","B",IF([5]Reliability!F22="Y","C","D")))</f>
        <v>#REF!</v>
      </c>
      <c r="H147" s="138" t="e">
        <f>IF(AND([5]Reliability!G17="Y",OR([5]Reliability!G31="Y",[5]Reliability!G32="Y")),"A",IF([5]Reliability!G19="Y","B",IF([5]Reliability!G22="Y","C","D")))</f>
        <v>#REF!</v>
      </c>
    </row>
    <row r="148" spans="1:8">
      <c r="A148" s="89">
        <f t="shared" si="2"/>
        <v>3</v>
      </c>
      <c r="B148" s="96" t="s">
        <v>30</v>
      </c>
      <c r="C148" s="97"/>
      <c r="D148" s="137"/>
      <c r="E148" s="138" t="e">
        <f>IF(AND(water!E178="A",sewerage!E24&gt;0,[5]Reliability!D98="Y"),"A",IF(AND(water!E178="B",[5]Reliability!D99="Y"),"B",IF(AND(water!E178="C",[5]Reliability!D100="Y"),"C","D")))</f>
        <v>#REF!</v>
      </c>
      <c r="F148" s="138" t="e">
        <f>IF(AND(water!F178="A",sewerage!F24&gt;0,[5]Reliability!E98="Y"),"A",IF(AND(water!F178="B",[5]Reliability!E99="Y"),"B",IF(AND(water!F178="C",[5]Reliability!E100="Y"),"C","D")))</f>
        <v>#REF!</v>
      </c>
      <c r="G148" s="138" t="e">
        <f>IF(AND(water!G178="A",sewerage!G24&gt;0,[5]Reliability!F98="Y"),"A",IF(AND(water!G178="B",[5]Reliability!F99="Y"),"B",IF(AND(water!G178="C",[5]Reliability!F100="Y"),"C","D")))</f>
        <v>#REF!</v>
      </c>
      <c r="H148" s="138" t="e">
        <f>IF(AND(water!H178="A",sewerage!H24&gt;0,[5]Reliability!G98="Y"),"A",IF(AND(water!H178="B",[5]Reliability!G99="Y"),"B",IF(AND(water!H178="C",[5]Reliability!G100="Y"),"C","D")))</f>
        <v>#REF!</v>
      </c>
    </row>
    <row r="149" spans="1:8">
      <c r="A149" s="89">
        <f t="shared" si="2"/>
        <v>4</v>
      </c>
      <c r="B149" s="96" t="s">
        <v>31</v>
      </c>
      <c r="C149" s="97"/>
      <c r="D149" s="137"/>
      <c r="E149" s="138" t="e">
        <f>IF(AND(water!E178="A",sewerage!E24&gt;0,[5]Reliability!D98="Y",E37&gt;0),"A",IF(AND(water!E178="B",[5]Reliability!D99="Y",E37&gt;0),"B",IF(AND(water!E178="C",[5]Reliability!D100="Y"),"C","D")))</f>
        <v>#REF!</v>
      </c>
      <c r="F149" s="138" t="e">
        <f>IF(AND(water!F178="A",sewerage!F24&gt;0,[5]Reliability!E98="Y",F37&gt;0),"A",IF(AND(water!F178="B",[5]Reliability!E99="Y",F37&gt;0),"B",IF(AND(water!F178="C",[5]Reliability!E100="Y"),"C","D")))</f>
        <v>#REF!</v>
      </c>
      <c r="G149" s="138" t="e">
        <f>IF(AND(water!G178="A",sewerage!G24&gt;0,[5]Reliability!F98="Y",G37&gt;0),"A",IF(AND(water!G178="B",[5]Reliability!F99="Y",G37&gt;0),"B",IF(AND(water!G178="C",[5]Reliability!F100="Y"),"C","D")))</f>
        <v>#REF!</v>
      </c>
      <c r="H149" s="138" t="e">
        <f>IF(AND(water!H178="A",sewerage!H24&gt;0,[5]Reliability!G98="Y",H37&gt;0),"A",IF(AND(water!H178="B",[5]Reliability!G99="Y",H37&gt;0),"B",IF(AND(water!H178="C",[5]Reliability!G100="Y"),"C","D")))</f>
        <v>#REF!</v>
      </c>
    </row>
    <row r="150" spans="1:8">
      <c r="A150" s="89">
        <f t="shared" si="2"/>
        <v>5</v>
      </c>
      <c r="B150" s="96" t="s">
        <v>570</v>
      </c>
      <c r="C150" s="97"/>
      <c r="D150" s="137"/>
      <c r="E150" s="138" t="e">
        <f>IF(AND([5]Reliability!D98="Y",[5]Reliability!D101="Y"),"A","D")</f>
        <v>#REF!</v>
      </c>
      <c r="F150" s="138" t="e">
        <f>IF(AND([5]Reliability!E98="Y",[5]Reliability!E101="Y"),"A","D")</f>
        <v>#REF!</v>
      </c>
      <c r="G150" s="138" t="e">
        <f>IF(AND([5]Reliability!F98="Y",[5]Reliability!F101="Y"),"A","D")</f>
        <v>#REF!</v>
      </c>
      <c r="H150" s="138" t="e">
        <f>IF(AND([5]Reliability!G98="Y",[5]Reliability!G101="Y"),"A","D")</f>
        <v>#REF!</v>
      </c>
    </row>
    <row r="151" spans="1:8">
      <c r="A151" s="89">
        <f t="shared" si="2"/>
        <v>6</v>
      </c>
      <c r="B151" s="96" t="s">
        <v>571</v>
      </c>
      <c r="C151" s="97"/>
      <c r="D151" s="137"/>
      <c r="E151" s="138" t="e">
        <f>IF(AND([5]Reliability!D107="Y",[5]Reliability!D110="Y",OR([5]Reliability!D112="Y",[5]Reliability!D113="Y"),OR([5]Reliability!D108="Y",[5]Reliability!D109="Y")),"A",IF(AND(OR([5]Reliability!D112="Y",[5]Reliability!D113="Y"),OR([5]Reliability!D108="Y",[5]Reliability!D109="Y")),"B","D"))</f>
        <v>#REF!</v>
      </c>
      <c r="F151" s="138" t="e">
        <f>IF(AND([5]Reliability!E107="Y",[5]Reliability!E110="Y",OR([5]Reliability!E112="Y",[5]Reliability!E113="Y"),OR([5]Reliability!E108="Y",[5]Reliability!E109="Y")),"A",IF(AND(OR([5]Reliability!E112="Y",[5]Reliability!E113="Y"),OR([5]Reliability!E108="Y",[5]Reliability!E109="Y")),"B","D"))</f>
        <v>#REF!</v>
      </c>
      <c r="G151" s="138" t="e">
        <f>IF(AND([5]Reliability!F107="Y",[5]Reliability!F110="Y",OR([5]Reliability!F112="Y",[5]Reliability!F113="Y"),OR([5]Reliability!F108="Y",[5]Reliability!F109="Y")),"A",IF(AND(OR([5]Reliability!F112="Y",[5]Reliability!F113="Y"),OR([5]Reliability!F108="Y",[5]Reliability!F109="Y")),"B","D"))</f>
        <v>#REF!</v>
      </c>
      <c r="H151" s="138" t="e">
        <f>IF(AND([5]Reliability!G107="Y",[5]Reliability!G110="Y",OR([5]Reliability!G112="Y",[5]Reliability!G113="Y"),OR([5]Reliability!G108="Y",[5]Reliability!G109="Y")),"A",IF(AND(OR([5]Reliability!G112="Y",[5]Reliability!G113="Y"),OR([5]Reliability!G108="Y",[5]Reliability!G109="Y")),"B","D"))</f>
        <v>#REF!</v>
      </c>
    </row>
    <row r="152" spans="1:8">
      <c r="A152" s="89">
        <f t="shared" si="2"/>
        <v>7</v>
      </c>
      <c r="B152" s="96" t="s">
        <v>572</v>
      </c>
      <c r="C152" s="97"/>
      <c r="D152" s="137"/>
      <c r="E152" s="138" t="e">
        <f>IF(AND([5]Reliability!D164="Y",OR([5]Reliability!D169="Y",[5]Reliability!D170="Y"),[5]Reliability!D175="Y",[5]Reliability!D179="Y"),"A",IF(AND([5]Reliability!D164="Y",[5]Reliability!D179="Y"),"B",IF([5]Reliability!D164="Y","C","D")))</f>
        <v>#REF!</v>
      </c>
      <c r="F152" s="138" t="e">
        <f>IF(AND([5]Reliability!E164="Y",OR([5]Reliability!E169="Y",[5]Reliability!E170="Y"),[5]Reliability!E175="Y",[5]Reliability!E179="Y"),"A",IF(AND([5]Reliability!E164="Y",[5]Reliability!E179="Y"),"B",IF([5]Reliability!E164="Y","C","D")))</f>
        <v>#REF!</v>
      </c>
      <c r="G152" s="138" t="e">
        <f>IF(AND([5]Reliability!F164="Y",OR([5]Reliability!F169="Y",[5]Reliability!F170="Y"),[5]Reliability!F175="Y",[5]Reliability!F179="Y"),"A",IF(AND([5]Reliability!F164="Y",[5]Reliability!F179="Y"),"B",IF([5]Reliability!F164="Y","C","D")))</f>
        <v>#REF!</v>
      </c>
      <c r="H152" s="138" t="e">
        <f>IF(AND([5]Reliability!G164="Y",OR([5]Reliability!G169="Y",[5]Reliability!G170="Y"),[5]Reliability!G175="Y",[5]Reliability!G179="Y"),"A",IF(AND([5]Reliability!G164="Y",[5]Reliability!G179="Y"),"B",IF([5]Reliability!G164="Y","C","D")))</f>
        <v>#REF!</v>
      </c>
    </row>
    <row r="153" spans="1:8">
      <c r="A153" s="89">
        <f t="shared" si="2"/>
        <v>8</v>
      </c>
      <c r="B153" s="96" t="s">
        <v>573</v>
      </c>
      <c r="C153" s="97"/>
      <c r="D153" s="137"/>
      <c r="E153" s="138" t="e">
        <f>IF(AND([5]Reliability!D140="Y",[5]Reliability!D145="Y",[5]Reliability!D149="Y",[5]Reliability!D159="Y"),"A",IF(AND([5]Reliability!D140="Y",[5]Reliability!D145="Y",[5]Reliability!D149="Y",sewerage!E64=0),"B","D"))</f>
        <v>#REF!</v>
      </c>
      <c r="F153" s="138" t="e">
        <f>IF(AND([5]Reliability!E140="Y",[5]Reliability!E145="Y",[5]Reliability!E149="Y",[5]Reliability!E159="Y"),"A",IF(AND([5]Reliability!E140="Y",[5]Reliability!E145="Y",[5]Reliability!E149="Y",sewerage!F64=0),"B","D"))</f>
        <v>#REF!</v>
      </c>
      <c r="G153" s="138" t="e">
        <f>IF(AND([5]Reliability!F140="Y",[5]Reliability!F145="Y",[5]Reliability!F149="Y",[5]Reliability!F159="Y"),"A",IF(AND([5]Reliability!F140="Y",[5]Reliability!F145="Y",[5]Reliability!F149="Y",sewerage!G64=0),"B","D"))</f>
        <v>#REF!</v>
      </c>
      <c r="H153" s="138" t="e">
        <f>IF(AND([5]Reliability!G140="Y",[5]Reliability!G145="Y",[5]Reliability!G149="Y",[5]Reliability!G159="Y"),"A",IF(AND([5]Reliability!G140="Y",[5]Reliability!G145="Y",[5]Reliability!G149="Y",sewerage!H64=0),"B","D"))</f>
        <v>#REF!</v>
      </c>
    </row>
    <row r="154" spans="1:8">
      <c r="A154" s="89">
        <f t="shared" si="2"/>
        <v>9</v>
      </c>
      <c r="B154" s="96" t="s">
        <v>574</v>
      </c>
      <c r="C154" s="97"/>
      <c r="D154" s="137"/>
      <c r="E154" s="138" t="e">
        <f>IF(AND([5]Reliability!D141="Y",[5]Reliability!D149="Y",[5]Reliability!D153="Y"),"A",IF(AND([5]Reliability!D141="Y",[5]Reliability!D149="Y"),"B","D"))</f>
        <v>#REF!</v>
      </c>
      <c r="F154" s="138" t="e">
        <f>IF(AND([5]Reliability!E141="Y",[5]Reliability!E149="Y",[5]Reliability!E153="Y"),"A",IF(AND([5]Reliability!E141="Y",[5]Reliability!E149="Y"),"B","D"))</f>
        <v>#REF!</v>
      </c>
      <c r="G154" s="138" t="e">
        <f>IF(AND([5]Reliability!F141="Y",[5]Reliability!F149="Y",[5]Reliability!F153="Y"),"A",IF(AND([5]Reliability!F141="Y",[5]Reliability!F149="Y"),"B","D"))</f>
        <v>#REF!</v>
      </c>
      <c r="H154" s="138" t="e">
        <f>IF(AND([5]Reliability!G141="Y",[5]Reliability!G149="Y",[5]Reliability!G153="Y"),"A",IF(AND([5]Reliability!G141="Y",[5]Reliability!G149="Y"),"B","D"))</f>
        <v>#REF!</v>
      </c>
    </row>
    <row r="155" spans="1:8">
      <c r="A155" s="86" t="s">
        <v>256</v>
      </c>
      <c r="B155" s="131" t="s">
        <v>575</v>
      </c>
      <c r="C155" s="139"/>
      <c r="D155" s="292" t="str">
        <f>'General Info'!D4</f>
        <v>FY 2008-2009</v>
      </c>
      <c r="E155" s="292" t="str">
        <f>'General Info'!E4</f>
        <v>FY 2009-2010</v>
      </c>
      <c r="F155" s="292" t="str">
        <f>'General Info'!F4</f>
        <v>FY 2010-2011</v>
      </c>
      <c r="G155" s="292" t="str">
        <f>'General Info'!G4</f>
        <v>FY 2011-2012</v>
      </c>
      <c r="H155" s="292" t="str">
        <f>'General Info'!H4</f>
        <v>FY 2012-2013</v>
      </c>
    </row>
    <row r="156" spans="1:8">
      <c r="A156" s="134" t="s">
        <v>579</v>
      </c>
      <c r="B156" s="135" t="s">
        <v>111</v>
      </c>
      <c r="C156" s="97"/>
      <c r="D156" s="136"/>
      <c r="E156" s="137"/>
      <c r="F156" s="137"/>
      <c r="G156" s="137"/>
      <c r="H156" s="137"/>
    </row>
    <row r="157" spans="1:8">
      <c r="A157" s="89">
        <v>1</v>
      </c>
      <c r="B157" s="96" t="s">
        <v>576</v>
      </c>
      <c r="C157" s="97"/>
      <c r="D157" s="137"/>
      <c r="E157" s="138" t="e">
        <f>IF(AND([5]Reliability!D41="Y",sewerage!E87&gt;0),"A",IF([5]Reliability!D42="Y","B","C"))</f>
        <v>#REF!</v>
      </c>
      <c r="F157" s="138" t="e">
        <f>IF(AND([5]Reliability!E41="Y",sewerage!F87&gt;0),"A",IF([5]Reliability!E42="Y","B","C"))</f>
        <v>#REF!</v>
      </c>
      <c r="G157" s="138" t="e">
        <f>IF(AND([5]Reliability!F41="Y",sewerage!G87&gt;0),"A",IF([5]Reliability!F42="Y","B","C"))</f>
        <v>#REF!</v>
      </c>
      <c r="H157" s="138" t="e">
        <f>IF(AND([5]Reliability!G41="Y",sewerage!H87&gt;0),"A",IF([5]Reliability!G42="Y","B","C"))</f>
        <v>#REF!</v>
      </c>
    </row>
    <row r="158" spans="1:8">
      <c r="A158" s="89">
        <v>2</v>
      </c>
      <c r="B158" s="96" t="s">
        <v>577</v>
      </c>
      <c r="C158" s="97"/>
      <c r="D158" s="137"/>
      <c r="E158" s="138" t="e">
        <f>IF([5]Reliability!D43="Y","A","B")</f>
        <v>#REF!</v>
      </c>
      <c r="F158" s="138" t="e">
        <f>IF([5]Reliability!E43="Y","A","B")</f>
        <v>#REF!</v>
      </c>
      <c r="G158" s="138" t="e">
        <f>IF([5]Reliability!F43="Y","A","B")</f>
        <v>#REF!</v>
      </c>
      <c r="H158" s="138" t="e">
        <f>IF([5]Reliability!G43="Y","A","B")</f>
        <v>#REF!</v>
      </c>
    </row>
    <row r="160" spans="1:8">
      <c r="A160" s="86" t="s">
        <v>256</v>
      </c>
      <c r="B160" s="87" t="s">
        <v>455</v>
      </c>
      <c r="C160" s="88" t="s">
        <v>258</v>
      </c>
      <c r="D160" s="292" t="str">
        <f>'General Info'!D4</f>
        <v>FY 2008-2009</v>
      </c>
      <c r="E160" s="292" t="str">
        <f>'General Info'!E4</f>
        <v>FY 2009-2010</v>
      </c>
      <c r="F160" s="292" t="str">
        <f>'General Info'!F4</f>
        <v>FY 2010-2011</v>
      </c>
      <c r="G160" s="292" t="str">
        <f>'General Info'!G4</f>
        <v>FY 2011-2012</v>
      </c>
      <c r="H160" s="292" t="str">
        <f>'General Info'!H4</f>
        <v>FY 2012-2013</v>
      </c>
    </row>
    <row r="161" spans="1:8">
      <c r="A161" s="89">
        <v>1</v>
      </c>
      <c r="B161" s="90" t="s">
        <v>580</v>
      </c>
      <c r="C161" s="89" t="s">
        <v>268</v>
      </c>
      <c r="D161" s="98">
        <f>IF(OR('Equity Related Information'!D119="nd",D9="nd",'General Info'!D10="nd"),"nd",IF(D9="na",'Equity Related Information'!D119/'General Info'!D10*100,SUM('Equity Related Information'!D119,D9)/'General Info'!D10*100))</f>
        <v>82.001416704230792</v>
      </c>
      <c r="E161" s="98">
        <f>IF(OR('Equity Related Information'!E119="nd",E9="nd",'General Info'!E10="nd"),"nd",IF(E9="na",'Equity Related Information'!E119/'General Info'!E10*100,SUM('Equity Related Information'!E119,E9)/'General Info'!E10*100))</f>
        <v>92.266320474777459</v>
      </c>
      <c r="F161" s="98">
        <f>IF(OR('Equity Related Information'!F119="nd",F9="nd",'General Info'!F10="nd"),"nd",IF(F9="na",'Equity Related Information'!F119/'General Info'!F10*100,SUM('Equity Related Information'!F119,F9)/'General Info'!F10*100))</f>
        <v>90.822202433956662</v>
      </c>
      <c r="G161" s="98">
        <f>IF(OR('Equity Related Information'!G119="nd",G9="nd",'General Info'!G10="nd"),"nd",IF(G9="na",'Equity Related Information'!G119/'General Info'!G10*100,SUM('Equity Related Information'!G119,G9)/'General Info'!G10*100))</f>
        <v>82.384464676731596</v>
      </c>
      <c r="H161" s="98">
        <f>IF(OR('Equity Related Information'!H119="nd",H9="nd",'General Info'!H10="nd"),"nd",IF(H9="na",'Equity Related Information'!H119/'General Info'!H10*100,SUM('Equity Related Information'!H119,H9)/'General Info'!H10*100))</f>
        <v>79.720711121081266</v>
      </c>
    </row>
    <row r="162" spans="1:8">
      <c r="A162" s="89">
        <v>2</v>
      </c>
      <c r="B162" s="90" t="s">
        <v>581</v>
      </c>
      <c r="C162" s="89" t="s">
        <v>268</v>
      </c>
      <c r="D162" s="98">
        <f>IF(OR(D13="nd",D14="nd",D12="nd"),"nd",IF(D13="na",D14/D12*100,SUM(D13,D14)/D12*100))</f>
        <v>0</v>
      </c>
      <c r="E162" s="98">
        <f>IF(OR(E13="nd",E14="nd",E12="nd"),"nd",IF(E13="na",E14/E12*100,SUM(E13,E14)/E12*100))</f>
        <v>98.647298439781721</v>
      </c>
      <c r="F162" s="98">
        <f>IF(OR(F13="nd",F14="nd",F12="nd"),"nd",IF(F13="na",F14/F12*100,SUM(F13,F14)/F12*100))</f>
        <v>98.684800478254374</v>
      </c>
      <c r="G162" s="98">
        <f>IF(OR(G13="nd",G14="nd",G12="nd"),"nd",IF(G13="na",G14/G12*100,SUM(G13,G14)/G12*100))</f>
        <v>89.999640145381264</v>
      </c>
      <c r="H162" s="98">
        <f>IF(OR(H13="nd",H14="nd",H12="nd"),"nd",IF(H13="na",H14/H12*100,SUM(H13,H14)/H12*100))</f>
        <v>90.402802101576185</v>
      </c>
    </row>
    <row r="163" spans="1:8">
      <c r="A163" s="89">
        <v>3</v>
      </c>
      <c r="B163" s="90" t="s">
        <v>582</v>
      </c>
      <c r="C163" s="89" t="s">
        <v>268</v>
      </c>
      <c r="D163" s="98">
        <f>IF(OR('Equity Related Information'!D120="nd",'General Info'!D10="nd"),"nd",IF('Equity Related Information'!D120="na","na",'Equity Related Information'!D120/'General Info'!D10*100))</f>
        <v>0</v>
      </c>
      <c r="E163" s="98" t="str">
        <f>IF(OR('Equity Related Information'!E120="nd",'General Info'!E10="nd"),"nd",IF('Equity Related Information'!E120="na","na",'Equity Related Information'!E120/'General Info'!E10*100))</f>
        <v>nd</v>
      </c>
      <c r="F163" s="98" t="str">
        <f>IF(OR('Equity Related Information'!F120="nd",'General Info'!F10="nd"),"nd",IF('Equity Related Information'!F120="na","na",'Equity Related Information'!F120/'General Info'!F10*100))</f>
        <v>nd</v>
      </c>
      <c r="G163" s="98">
        <f>IF(OR('Equity Related Information'!G120="nd",'General Info'!G10="nd"),"nd",IF('Equity Related Information'!G120="na","na",'Equity Related Information'!G120/'General Info'!G10*100))</f>
        <v>39.910107179900891</v>
      </c>
      <c r="H163" s="98">
        <f>IF(OR('Equity Related Information'!H120="nd",'General Info'!H10="nd"),"nd",IF('Equity Related Information'!H120="na","na",'Equity Related Information'!H120/'General Info'!H10*100))</f>
        <v>66.636756211093044</v>
      </c>
    </row>
    <row r="164" spans="1:8">
      <c r="A164" s="89">
        <v>4</v>
      </c>
      <c r="B164" s="90" t="s">
        <v>583</v>
      </c>
      <c r="C164" s="89" t="s">
        <v>268</v>
      </c>
      <c r="D164" s="98">
        <f>IF(OR(AND('Equity Related Information'!D106="nd",'Equity Related Information'!D107="nd"),'Equity Related Information'!D108="nd"),"nd",IF(SUM('Equity Related Information'!D106:D107)&gt;0,SUM('Equity Related Information'!D106:D107)/'General Info'!D22*100,'Equity Related Information'!D108/'General Info'!D22*100))</f>
        <v>69.969356486210415</v>
      </c>
      <c r="E164" s="98" t="str">
        <f>IF(OR(AND('Equity Related Information'!E106="nd",'Equity Related Information'!E107="nd"),'Equity Related Information'!E108="nd"),"nd",IF(SUM('Equity Related Information'!E106:E107)&gt;0,SUM('Equity Related Information'!E106:E107)/'General Info'!E22*100,'Equity Related Information'!E108/'General Info'!E22*100))</f>
        <v>nd</v>
      </c>
      <c r="F164" s="98" t="str">
        <f>IF(OR(AND('Equity Related Information'!F106="nd",'Equity Related Information'!F107="nd"),'Equity Related Information'!F108="nd"),"nd",IF(SUM('Equity Related Information'!F106:F107)&gt;0,SUM('Equity Related Information'!F106:F107)/'General Info'!F22*100,'Equity Related Information'!F108/'General Info'!F22*100))</f>
        <v>nd</v>
      </c>
      <c r="G164" s="98" t="str">
        <f>IF(OR(AND('Equity Related Information'!G106="nd",'Equity Related Information'!G107="nd"),'Equity Related Information'!G108="nd"),"nd",IF(SUM('Equity Related Information'!G106:G107)&gt;0,SUM('Equity Related Information'!G106:G107)/'General Info'!G22*100,'Equity Related Information'!G108/'General Info'!G22*100))</f>
        <v>nd</v>
      </c>
      <c r="H164" s="98">
        <f>IF(OR(AND('Equity Related Information'!H106="nd",'Equity Related Information'!H107="nd"),'Equity Related Information'!H108="nd"),"nd",IF(SUM('Equity Related Information'!H106:H107)&gt;0,SUM('Equity Related Information'!H106:H107)/'General Info'!H22*100,'Equity Related Information'!H108/'General Info'!H22*100))</f>
        <v>89.376915219611845</v>
      </c>
    </row>
    <row r="165" spans="1:8">
      <c r="A165" s="89">
        <v>5</v>
      </c>
      <c r="B165" s="90" t="s">
        <v>584</v>
      </c>
      <c r="C165" s="89" t="s">
        <v>268</v>
      </c>
      <c r="D165" s="98">
        <f>IF(OR('Equity Related Information'!D111="nd",'Equity Related Information'!D114="nd"),"nd",SUM('Equity Related Information'!D111,'Equity Related Information'!D114)/'General Info'!D22*100)</f>
        <v>0</v>
      </c>
      <c r="E165" s="98" t="str">
        <f>IF(OR('Equity Related Information'!E111="nd",'Equity Related Information'!E114="nd"),"nd",SUM('Equity Related Information'!E111,'Equity Related Information'!E114)/'General Info'!E22*100)</f>
        <v>nd</v>
      </c>
      <c r="F165" s="98" t="str">
        <f>IF(OR('Equity Related Information'!F111="nd",'Equity Related Information'!F114="nd"),"nd",SUM('Equity Related Information'!F111,'Equity Related Information'!F114)/'General Info'!F22*100)</f>
        <v>nd</v>
      </c>
      <c r="G165" s="98" t="str">
        <f>IF(OR('Equity Related Information'!G111="nd",'Equity Related Information'!G114="nd"),"nd",SUM('Equity Related Information'!G111,'Equity Related Information'!G114)/'General Info'!G22*100)</f>
        <v>nd</v>
      </c>
      <c r="H165" s="98">
        <f>IF(OR('Equity Related Information'!H111="nd",'Equity Related Information'!H114="nd"),"nd",SUM('Equity Related Information'!H111,'Equity Related Information'!H114)/'General Info'!H22*100)</f>
        <v>89.376915219611845</v>
      </c>
    </row>
    <row r="166" spans="1:8">
      <c r="A166" s="89">
        <v>6</v>
      </c>
      <c r="B166" s="90" t="s">
        <v>460</v>
      </c>
      <c r="C166" s="89" t="s">
        <v>268</v>
      </c>
      <c r="D166" s="98" t="e">
        <f>IF(OR('Equity Related Information'!D95="nd",'Equity Related Information'!D120="nd",'Equity Related Information'!D121="nd"),"nd",IF(OR('Equity Related Information'!D95="na",'Equity Related Information'!D120="na",'Equity Related Information'!D121="na"),"na",'Equity Related Information'!D95/SUM('Equity Related Information'!D120,'Equity Related Information'!D121)*100))</f>
        <v>#DIV/0!</v>
      </c>
      <c r="E166" s="98" t="str">
        <f>IF(OR('Equity Related Information'!E95="nd",'Equity Related Information'!E120="nd",'Equity Related Information'!E121="nd"),"nd",IF(OR('Equity Related Information'!E95="na",'Equity Related Information'!E120="na",'Equity Related Information'!E121="na"),"na",'Equity Related Information'!E95/SUM('Equity Related Information'!E120,'Equity Related Information'!E121)*100))</f>
        <v>nd</v>
      </c>
      <c r="F166" s="98" t="str">
        <f>IF(OR('Equity Related Information'!F95="nd",'Equity Related Information'!F120="nd",'Equity Related Information'!F121="nd"),"nd",IF(OR('Equity Related Information'!F95="na",'Equity Related Information'!F120="na",'Equity Related Information'!F121="na"),"na",'Equity Related Information'!F95/SUM('Equity Related Information'!F120,'Equity Related Information'!F121)*100))</f>
        <v>nd</v>
      </c>
      <c r="G166" s="98" t="str">
        <f>IF(OR('Equity Related Information'!G95="nd",'Equity Related Information'!G120="nd",'Equity Related Information'!G121="nd"),"nd",IF(OR('Equity Related Information'!G95="na",'Equity Related Information'!G120="na",'Equity Related Information'!G121="na"),"na",'Equity Related Information'!G95/SUM('Equity Related Information'!G120,'Equity Related Information'!G121)*100))</f>
        <v>nd</v>
      </c>
      <c r="H166" s="98" t="str">
        <f>IF(OR('Equity Related Information'!H95="nd",'Equity Related Information'!H120="nd",'Equity Related Information'!H121="nd"),"nd",IF(OR('Equity Related Information'!H95="na",'Equity Related Information'!H120="na",'Equity Related Information'!H121="na"),"na",'Equity Related Information'!H95/SUM('Equity Related Information'!H120,'Equity Related Information'!H121)*100))</f>
        <v>nd</v>
      </c>
    </row>
    <row r="167" spans="1:8">
      <c r="A167" s="89">
        <v>7</v>
      </c>
      <c r="B167" s="90" t="s">
        <v>585</v>
      </c>
      <c r="C167" s="89" t="s">
        <v>268</v>
      </c>
      <c r="D167" s="98">
        <f>IF('Equity Related Information'!D96="na","na",IF('Equity Related Information'!D96="nd","nd",'Equity Related Information'!D96))</f>
        <v>0</v>
      </c>
      <c r="E167" s="98" t="str">
        <f>IF('Equity Related Information'!E96="na","na",IF('Equity Related Information'!E96="nd","nd",'Equity Related Information'!E96))</f>
        <v>nd</v>
      </c>
      <c r="F167" s="98" t="str">
        <f>IF('Equity Related Information'!F96="na","na",IF('Equity Related Information'!F96="nd","nd",'Equity Related Information'!F96))</f>
        <v>nd</v>
      </c>
      <c r="G167" s="98" t="str">
        <f>IF('Equity Related Information'!G96="na","na",IF('Equity Related Information'!G96="nd","nd",'Equity Related Information'!G96))</f>
        <v>nd</v>
      </c>
      <c r="H167" s="98" t="str">
        <f>IF('Equity Related Information'!H96="na","na",IF('Equity Related Information'!H96="nd","nd",'Equity Related Information'!H96))</f>
        <v>nd</v>
      </c>
    </row>
    <row r="168" spans="1:8">
      <c r="A168" s="89">
        <v>8</v>
      </c>
      <c r="B168" s="90" t="s">
        <v>586</v>
      </c>
      <c r="C168" s="89" t="s">
        <v>477</v>
      </c>
      <c r="D168" s="98">
        <f>IF('Equity Related Information'!D101="N","na",IF('Equity Related Information'!D101="N","na",IF(OR(D104="nd",AND('Equity Related Information'!D102="nd",'Equity Related Information'!D103="nd",'Equity Related Information'!D104="nd",'Equity Related Information'!D110="nd",'Equity Related Information'!D113="nd")),"nd",D104/IF(SUM('Equity Related Information'!D102:D103)&gt;0,SUM('Equity Related Information'!D102:D103,'Equity Related Information'!D110,'Equity Related Information'!D113),SUM('Equity Related Information'!D104,'Equity Related Information'!D110,'Equity Related Information'!D113)))))</f>
        <v>0</v>
      </c>
      <c r="E168" s="98">
        <f>IF('Equity Related Information'!E101="N","na",IF('Equity Related Information'!E101="N","na",IF(OR(E104="nd",AND('Equity Related Information'!E102="nd",'Equity Related Information'!E103="nd",'Equity Related Information'!E104="nd",'Equity Related Information'!E110="nd",'Equity Related Information'!E113="nd")),"nd",E104/IF(SUM('Equity Related Information'!E102:E103)&gt;0,SUM('Equity Related Information'!E102:E103,'Equity Related Information'!E110,'Equity Related Information'!E113),SUM('Equity Related Information'!E104,'Equity Related Information'!E110,'Equity Related Information'!E113)))))</f>
        <v>0.19920318725099603</v>
      </c>
      <c r="F168" s="98">
        <f>IF('Equity Related Information'!F101="N","na",IF('Equity Related Information'!F101="N","na",IF(OR(F104="nd",AND('Equity Related Information'!F102="nd",'Equity Related Information'!F103="nd",'Equity Related Information'!F104="nd",'Equity Related Information'!F110="nd",'Equity Related Information'!F113="nd")),"nd",F104/IF(SUM('Equity Related Information'!F102:F103)&gt;0,SUM('Equity Related Information'!F102:F103,'Equity Related Information'!F110,'Equity Related Information'!F113),SUM('Equity Related Information'!F104,'Equity Related Information'!F110,'Equity Related Information'!F113)))))</f>
        <v>0.18450184501845021</v>
      </c>
      <c r="G168" s="98">
        <f>IF('Equity Related Information'!G101="N","na",IF('Equity Related Information'!G101="N","na",IF(OR(G104="nd",AND('Equity Related Information'!G102="nd",'Equity Related Information'!G103="nd",'Equity Related Information'!G104="nd",'Equity Related Information'!G110="nd",'Equity Related Information'!G113="nd")),"nd",G104/IF(SUM('Equity Related Information'!G102:G103)&gt;0,SUM('Equity Related Information'!G102:G103,'Equity Related Information'!G110,'Equity Related Information'!G113),SUM('Equity Related Information'!G104,'Equity Related Information'!G110,'Equity Related Information'!G113)))))</f>
        <v>0.51660516605166051</v>
      </c>
      <c r="H168" s="98">
        <f>IF('Equity Related Information'!H101="N","na",IF('Equity Related Information'!H101="N","na",IF(OR(H104="nd",AND('Equity Related Information'!H102="nd",'Equity Related Information'!H103="nd",'Equity Related Information'!H104="nd",'Equity Related Information'!H110="nd",'Equity Related Information'!H113="nd")),"nd",H104/IF(SUM('Equity Related Information'!H102:H103)&gt;0,SUM('Equity Related Information'!H102:H103,'Equity Related Information'!H110,'Equity Related Information'!H113),SUM('Equity Related Information'!H104,'Equity Related Information'!H110,'Equity Related Information'!H113)))))</f>
        <v>0.21260440394836752</v>
      </c>
    </row>
    <row r="169" spans="1:8">
      <c r="A169" s="89">
        <v>9</v>
      </c>
      <c r="B169" s="90" t="s">
        <v>587</v>
      </c>
      <c r="C169" s="89" t="s">
        <v>268</v>
      </c>
      <c r="D169" s="98">
        <f>IF('Equity Related Information'!D101="No","na",IF(OR('Equity Related Information'!D105="nd",AND('Equity Related Information'!D102="nd",'Equity Related Information'!D103="nd",'Equity Related Information'!D104="nd")),"nd",'Equity Related Information'!D105/IF(SUM('Equity Related Information'!D102,'Equity Related Information'!D103)&gt;0,SUM('Equity Related Information'!D102,'Equity Related Information'!D103)*100,'Equity Related Information'!D104*100)))</f>
        <v>0</v>
      </c>
      <c r="E169" s="98" t="str">
        <f>IF('Equity Related Information'!E101="No","na",IF(OR('Equity Related Information'!E105="nd",AND('Equity Related Information'!E102="nd",'Equity Related Information'!E103="nd",'Equity Related Information'!E104="nd")),"nd",'Equity Related Information'!E105/IF(SUM('Equity Related Information'!E102,'Equity Related Information'!E103)&gt;0,SUM('Equity Related Information'!E102,'Equity Related Information'!E103)*100,'Equity Related Information'!E104*100)))</f>
        <v>nd</v>
      </c>
      <c r="F169" s="98">
        <f>IF('Equity Related Information'!F101="No","na",IF(OR('Equity Related Information'!F105="nd",AND('Equity Related Information'!F102="nd",'Equity Related Information'!F103="nd",'Equity Related Information'!F104="nd")),"nd",'Equity Related Information'!F105/IF(SUM('Equity Related Information'!F102,'Equity Related Information'!F103)&gt;0,SUM('Equity Related Information'!F102,'Equity Related Information'!F103)*100,'Equity Related Information'!F104*100)))</f>
        <v>8.0000000000000007E-5</v>
      </c>
      <c r="G169" s="98" t="str">
        <f>IF('Equity Related Information'!G101="No","na",IF(OR('Equity Related Information'!G105="nd",AND('Equity Related Information'!G102="nd",'Equity Related Information'!G103="nd",'Equity Related Information'!G104="nd")),"nd",'Equity Related Information'!G105/IF(SUM('Equity Related Information'!G102,'Equity Related Information'!G103)&gt;0,SUM('Equity Related Information'!G102,'Equity Related Information'!G103)*100,'Equity Related Information'!G104*100)))</f>
        <v>nd</v>
      </c>
      <c r="H169" s="98">
        <f>IF('Equity Related Information'!H101="No","na",IF(OR('Equity Related Information'!H105="nd",AND('Equity Related Information'!H102="nd",'Equity Related Information'!H103="nd",'Equity Related Information'!H104="nd")),"nd",'Equity Related Information'!H105/IF(SUM('Equity Related Information'!H102,'Equity Related Information'!H103)&gt;0,SUM('Equity Related Information'!H102,'Equity Related Information'!H103)*100,'Equity Related Information'!H104*100)))</f>
        <v>3.2948929159802305E-4</v>
      </c>
    </row>
    <row r="170" spans="1:8">
      <c r="A170" s="89">
        <v>10</v>
      </c>
      <c r="B170" s="90" t="s">
        <v>588</v>
      </c>
      <c r="C170" s="89" t="s">
        <v>268</v>
      </c>
      <c r="D170" s="98">
        <f>IF(OR(D43="nd",D44="nd"),"nd",IF(OR(D43="na",D44="na"),"na",D43/D44*100))</f>
        <v>0</v>
      </c>
      <c r="E170" s="98" t="str">
        <f>IF(OR(E43="nd",E44="nd"),"nd",IF(OR(E43="na",E44="na"),"na",E43/E44*100))</f>
        <v>na</v>
      </c>
      <c r="F170" s="98" t="str">
        <f>IF(OR(F43="nd",F44="nd"),"nd",IF(OR(F43="na",F44="na"),"na",F43/F44*100))</f>
        <v>na</v>
      </c>
      <c r="G170" s="98">
        <f>IF(OR(G43="nd",G44="nd"),"nd",IF(OR(G43="na",G44="na"),"na",G43/G44*100))</f>
        <v>4.0221008696931246</v>
      </c>
      <c r="H170" s="98">
        <f>IF(OR(H43="nd",H44="nd"),"nd",IF(OR(H43="na",H44="na"),"na",H43/H44*100))</f>
        <v>166.29711751662967</v>
      </c>
    </row>
    <row r="171" spans="1:8">
      <c r="A171" s="89">
        <v>11</v>
      </c>
      <c r="B171" s="90" t="s">
        <v>589</v>
      </c>
      <c r="C171" s="89" t="s">
        <v>268</v>
      </c>
      <c r="D171" s="98">
        <f>IF(OR(D34="nd",D41="nd"),"nd",IF(D41="na","na",IF(D34=0,0,D41/D34*100)))</f>
        <v>0</v>
      </c>
      <c r="E171" s="98" t="str">
        <f>IF(OR(E34="nd",E41="nd"),"nd",IF(E41="na","na",IF(E34=0,0,E41/E34*100)))</f>
        <v>na</v>
      </c>
      <c r="F171" s="98" t="str">
        <f>IF(OR(F34="nd",F41="nd"),"nd",IF(F41="na","na",IF(F34=0,0,F41/F34*100)))</f>
        <v>na</v>
      </c>
      <c r="G171" s="98">
        <f>IF(OR(G34="nd",G41="nd"),"nd",IF(G41="na","na",IF(G34=0,0,G41/G34*100)))</f>
        <v>4.0221008696931246</v>
      </c>
      <c r="H171" s="98">
        <f>IF(OR(H34="nd",H41="nd"),"nd",IF(H41="na","na",IF(H34=0,0,H41/H34*100)))</f>
        <v>166.29711751662967</v>
      </c>
    </row>
    <row r="172" spans="1:8">
      <c r="A172" s="89">
        <v>12</v>
      </c>
      <c r="B172" s="90" t="s">
        <v>590</v>
      </c>
      <c r="C172" s="89" t="s">
        <v>459</v>
      </c>
      <c r="D172" s="98">
        <f>'Equity Related Information'!D116</f>
        <v>0</v>
      </c>
      <c r="E172" s="98" t="str">
        <f>'Equity Related Information'!E116</f>
        <v>YES</v>
      </c>
      <c r="F172" s="98" t="str">
        <f>'Equity Related Information'!H116</f>
        <v>YES</v>
      </c>
      <c r="G172" s="98">
        <f>'Equity Related Information'!I116</f>
        <v>0</v>
      </c>
      <c r="H172" s="98">
        <f>'Equity Related Information'!J116</f>
        <v>0</v>
      </c>
    </row>
    <row r="173" spans="1:8">
      <c r="A173" s="89">
        <v>13</v>
      </c>
      <c r="B173" s="90" t="s">
        <v>591</v>
      </c>
      <c r="C173" s="89" t="s">
        <v>459</v>
      </c>
      <c r="D173" s="98">
        <f>'Equity Related Information'!D117</f>
        <v>0</v>
      </c>
      <c r="E173" s="98" t="str">
        <f>'Equity Related Information'!E117</f>
        <v>NO</v>
      </c>
      <c r="F173" s="98" t="str">
        <f>'Equity Related Information'!H117</f>
        <v>NO</v>
      </c>
      <c r="G173" s="98">
        <f>'Equity Related Information'!I117</f>
        <v>0</v>
      </c>
      <c r="H173" s="98">
        <f>'Equity Related Information'!J117</f>
        <v>0</v>
      </c>
    </row>
    <row r="174" spans="1:8">
      <c r="A174" s="89">
        <v>14</v>
      </c>
      <c r="B174" s="90" t="s">
        <v>592</v>
      </c>
      <c r="C174" s="89" t="s">
        <v>268</v>
      </c>
      <c r="D174" s="98">
        <f>IF(OR(D36="nd",D41="nd"),"nd",IF(OR(D36="na",D41="na"),"na",IF(D41=0,0,D36/D41*100)))</f>
        <v>0</v>
      </c>
      <c r="E174" s="98" t="str">
        <f>IF(OR(E36="nd",E41="nd"),"nd",IF(OR(E36="na",E41="na"),"na",IF(E41=0,0,E36/E41*100)))</f>
        <v>na</v>
      </c>
      <c r="F174" s="98" t="str">
        <f>IF(OR(F36="nd",F41="nd"),"nd",IF(OR(F36="na",F41="na"),"na",IF(F41=0,0,F36/F41*100)))</f>
        <v>na</v>
      </c>
      <c r="G174" s="98">
        <f>IF(OR(G36="nd",G41="nd"),"nd",IF(OR(G36="na",G41="na"),"na",IF(G41=0,0,G36/G41*100)))</f>
        <v>100</v>
      </c>
      <c r="H174" s="98" t="str">
        <f>IF(OR(H36="nd",H41="nd"),"nd",IF(OR(H36="na",H41="na"),"na",IF(H41=0,0,H36/H41*100)))</f>
        <v>na</v>
      </c>
    </row>
    <row r="175" spans="1:8">
      <c r="A175" s="89">
        <v>15</v>
      </c>
      <c r="B175" s="90" t="s">
        <v>593</v>
      </c>
      <c r="C175" s="89" t="s">
        <v>271</v>
      </c>
      <c r="D175" s="98">
        <f>IF('Equity Related Information'!D144="nd","nd",'Equity Related Information'!D144)</f>
        <v>0</v>
      </c>
      <c r="E175" s="98" t="str">
        <f>IF('Equity Related Information'!E144="nd","nd",'Equity Related Information'!E144)</f>
        <v>NA</v>
      </c>
      <c r="F175" s="98" t="str">
        <f>IF('Equity Related Information'!F144="nd","nd",'Equity Related Information'!F144)</f>
        <v>NA</v>
      </c>
      <c r="G175" s="98" t="str">
        <f>IF('Equity Related Information'!G144="nd","nd",'Equity Related Information'!G144)</f>
        <v>NA</v>
      </c>
      <c r="H175" s="98">
        <f>IF('Equity Related Information'!H144="nd","nd",'Equity Related Information'!H144)</f>
        <v>392</v>
      </c>
    </row>
    <row r="176" spans="1:8">
      <c r="A176" s="89">
        <v>16</v>
      </c>
      <c r="B176" s="90" t="s">
        <v>594</v>
      </c>
      <c r="C176" s="89" t="s">
        <v>459</v>
      </c>
      <c r="D176" s="98">
        <f>'Equity Related Information'!D152</f>
        <v>0</v>
      </c>
      <c r="E176" s="98" t="str">
        <f>'Equity Related Information'!E152</f>
        <v>NO</v>
      </c>
      <c r="F176" s="98" t="str">
        <f>'Equity Related Information'!H152</f>
        <v>NO</v>
      </c>
      <c r="G176" s="98">
        <f>'Equity Related Information'!I152</f>
        <v>0</v>
      </c>
      <c r="H176" s="98">
        <f>'Equity Related Information'!J152</f>
        <v>0</v>
      </c>
    </row>
    <row r="177" spans="1:8">
      <c r="A177" s="89">
        <v>17</v>
      </c>
      <c r="B177" s="90" t="s">
        <v>595</v>
      </c>
      <c r="C177" s="89" t="s">
        <v>477</v>
      </c>
      <c r="D177" s="98" t="e">
        <f>IF(OR(D107="nd",D108="nd",'Equity Related Information'!D146="nd"),"nd",IF('Equity Related Information'!D146="na","na",SUM(D107,D108)/('Equity Related Information'!D146/1000)))</f>
        <v>#DIV/0!</v>
      </c>
      <c r="E177" s="98" t="str">
        <f>IF(OR(E107="nd",E108="nd",'Equity Related Information'!E146="nd"),"nd",IF('Equity Related Information'!E146="na","na",SUM(E107,E108)/('Equity Related Information'!E146/1000)))</f>
        <v>na</v>
      </c>
      <c r="F177" s="98" t="str">
        <f>IF(OR(F107="nd",F108="nd",'Equity Related Information'!F146="nd"),"nd",IF('Equity Related Information'!F146="na","na",SUM(F107,F108)/('Equity Related Information'!F146/1000)))</f>
        <v>na</v>
      </c>
      <c r="G177" s="98" t="str">
        <f>IF(OR(G107="nd",G108="nd",'Equity Related Information'!G146="nd"),"nd",IF('Equity Related Information'!G146="na","na",SUM(G107,G108)/('Equity Related Information'!G146/1000)))</f>
        <v>na</v>
      </c>
      <c r="H177" s="98" t="str">
        <f>IF(OR(H107="nd",H108="nd",'Equity Related Information'!H146="nd"),"nd",IF('Equity Related Information'!H146="na","na",SUM(H107,H108)/('Equity Related Information'!H146/1000)))</f>
        <v>nd</v>
      </c>
    </row>
    <row r="178" spans="1:8">
      <c r="A178" s="89">
        <v>18</v>
      </c>
      <c r="B178" s="90" t="s">
        <v>596</v>
      </c>
      <c r="C178" s="89" t="s">
        <v>271</v>
      </c>
      <c r="D178" s="98" t="e">
        <f>IF(OR('Equity Related Information'!D147="nd",'Equity Related Information'!D146="nd"),"nd",IF(OR('Equity Related Information'!D147="na",'Equity Related Information'!D146="na"),"na",'Equity Related Information'!D147/'Equity Related Information'!D146*100))</f>
        <v>#DIV/0!</v>
      </c>
      <c r="E178" s="98" t="str">
        <f>IF(OR('Equity Related Information'!E147="nd",'Equity Related Information'!E146="nd"),"nd",IF(OR('Equity Related Information'!E147="na",'Equity Related Information'!E146="na"),"na",'Equity Related Information'!E147/'Equity Related Information'!E146*100))</f>
        <v>nd</v>
      </c>
      <c r="F178" s="98" t="str">
        <f>IF(OR('Equity Related Information'!F147="nd",'Equity Related Information'!F146="nd"),"nd",IF(OR('Equity Related Information'!F147="na",'Equity Related Information'!F146="na"),"na",'Equity Related Information'!F147/'Equity Related Information'!F146*100))</f>
        <v>nd</v>
      </c>
      <c r="G178" s="98" t="str">
        <f>IF(OR('Equity Related Information'!G147="nd",'Equity Related Information'!G146="nd"),"nd",IF(OR('Equity Related Information'!G147="na",'Equity Related Information'!G146="na"),"na",'Equity Related Information'!G147/'Equity Related Information'!G146*100))</f>
        <v>nd</v>
      </c>
      <c r="H178" s="98" t="str">
        <f>IF(OR('Equity Related Information'!H147="nd",'Equity Related Information'!H146="nd"),"nd",IF(OR('Equity Related Information'!H147="na",'Equity Related Information'!H146="na"),"na",'Equity Related Information'!H147/'Equity Related Information'!H146*100))</f>
        <v>nd</v>
      </c>
    </row>
    <row r="179" spans="1:8">
      <c r="A179" s="89">
        <v>19</v>
      </c>
      <c r="B179" s="90" t="s">
        <v>597</v>
      </c>
      <c r="C179" s="89" t="s">
        <v>598</v>
      </c>
      <c r="D179" s="98">
        <f>IF(OR(D64="nd",D44="nd"),"nd",IF(D64="na","na",(D64/365*(10^5))/(D44/1000)))</f>
        <v>329985.22305203881</v>
      </c>
      <c r="E179" s="98">
        <f>IF(OR(E64="nd",E44="nd"),"nd",IF(E64="na","na",(E64/365*(10^5))/(E44/1000)))</f>
        <v>308941.48090922221</v>
      </c>
      <c r="F179" s="98">
        <f>IF(OR(F64="nd",F44="nd"),"nd",IF(F64="na","na",(F64/365*(10^5))/(F44/1000)))</f>
        <v>0</v>
      </c>
      <c r="G179" s="98">
        <f>IF(OR(G64="nd",G44="nd"),"nd",IF(G64="na","na",(G64/365*(10^5))/(G44/1000)))</f>
        <v>276430.88560395798</v>
      </c>
      <c r="H179" s="98">
        <f>IF(OR(H64="nd",H44="nd"),"nd",IF(H64="na","na",(H64/365*(10^5))/(H44/1000)))</f>
        <v>266682.86608146271</v>
      </c>
    </row>
    <row r="180" spans="1:8">
      <c r="A180" s="89">
        <v>20</v>
      </c>
      <c r="B180" s="90" t="s">
        <v>599</v>
      </c>
      <c r="C180" s="89" t="s">
        <v>268</v>
      </c>
      <c r="D180" s="98" t="e">
        <f>IF(OR(D104="nd",D103="nd"),"nd",IF(OR(D104="na",D103="na"),"na",D104/D103*100))</f>
        <v>#DIV/0!</v>
      </c>
      <c r="E180" s="98">
        <f>IF(OR(E104="nd",E103="nd"),"nd",IF(OR(E104="na",E103="na"),"na",E104/E103*100))</f>
        <v>33.333333333333329</v>
      </c>
      <c r="F180" s="98">
        <f>IF(OR(F104="nd",F103="nd"),"nd",IF(OR(F104="na",F103="na"),"na",F104/F103*100))</f>
        <v>33.333333333333329</v>
      </c>
      <c r="G180" s="98">
        <f>IF(OR(G104="nd",G103="nd"),"nd",IF(OR(G104="na",G103="na"),"na",G104/G103*100))</f>
        <v>100</v>
      </c>
      <c r="H180" s="98">
        <f>IF(OR(H104="nd",H103="nd"),"nd",IF(OR(H104="na",H103="na"),"na",H104/H103*100))</f>
        <v>100</v>
      </c>
    </row>
    <row r="181" spans="1:8">
      <c r="A181" s="89">
        <v>21</v>
      </c>
      <c r="B181" s="90" t="s">
        <v>600</v>
      </c>
      <c r="C181" s="89" t="s">
        <v>477</v>
      </c>
      <c r="D181" s="98" t="e">
        <f>IF(OR('Equity Related Information'!D120="nd",'Equity Related Information'!D121="nd",D104="nd"),"nd",IF(D104="na","na",D104/(SUM('Equity Related Information'!D120,'Equity Related Information'!D121)/1000)))</f>
        <v>#DIV/0!</v>
      </c>
      <c r="E181" s="98" t="str">
        <f>IF(OR('Equity Related Information'!E120="nd",'Equity Related Information'!E121="nd",E104="nd"),"nd",IF(E104="na","na",E104/(SUM('Equity Related Information'!E120,'Equity Related Information'!E121)/1000)))</f>
        <v>nd</v>
      </c>
      <c r="F181" s="98" t="str">
        <f>IF(OR('Equity Related Information'!F120="nd",'Equity Related Information'!F121="nd",F104="nd"),"nd",IF(F104="na","na",F104/(SUM('Equity Related Information'!F120,'Equity Related Information'!F121)/1000)))</f>
        <v>nd</v>
      </c>
      <c r="G181" s="98">
        <f>IF(OR('Equity Related Information'!G120="nd",'Equity Related Information'!G121="nd",G104="nd"),"nd",IF(G104="na","na",G104/(SUM('Equity Related Information'!G120,'Equity Related Information'!G121)/1000)))</f>
        <v>1.9369120088544549</v>
      </c>
      <c r="H181" s="98">
        <f>IF(OR('Equity Related Information'!H120="nd",'Equity Related Information'!H121="nd",H104="nd"),"nd",IF(H104="na","na",H104/(SUM('Equity Related Information'!H120,'Equity Related Information'!H121)/1000)))</f>
        <v>0.97100846164516585</v>
      </c>
    </row>
    <row r="182" spans="1:8">
      <c r="A182" s="89">
        <v>22</v>
      </c>
      <c r="B182" s="90" t="s">
        <v>601</v>
      </c>
      <c r="C182" s="89" t="s">
        <v>435</v>
      </c>
      <c r="D182" s="98" t="e">
        <f>IF(OR('Equity Related Information'!D120="nd",'Equity Related Information'!D121="nd",D81="nd"),"nd",IF(D81="na","na",(D81*10^5)/SUM('Equity Related Information'!D120,'Equity Related Information'!D121)))</f>
        <v>#DIV/0!</v>
      </c>
      <c r="E182" s="98" t="str">
        <f>IF(OR('Equity Related Information'!E120="nd",'Equity Related Information'!E121="nd",E81="nd"),"nd",IF(E81="na","na",(E81*10^5)/SUM('Equity Related Information'!E120,'Equity Related Information'!E121)))</f>
        <v>nd</v>
      </c>
      <c r="F182" s="98" t="str">
        <f>IF(OR('Equity Related Information'!F120="nd",'Equity Related Information'!F121="nd",F81="nd"),"nd",IF(F81="na","na",(F81*10^5)/SUM('Equity Related Information'!F120,'Equity Related Information'!F121)))</f>
        <v>nd</v>
      </c>
      <c r="G182" s="98">
        <f>IF(OR('Equity Related Information'!G120="nd",'Equity Related Information'!G121="nd",G81="nd"),"nd",IF(G81="na","na",(G81*10^5)/SUM('Equity Related Information'!G120,'Equity Related Information'!G121)))</f>
        <v>161.04039845047041</v>
      </c>
      <c r="H182" s="98">
        <f>IF(OR('Equity Related Information'!H120="nd",'Equity Related Information'!H121="nd",H81="nd"),"nd",IF(H81="na","na",(H81*10^5)/SUM('Equity Related Information'!H120,'Equity Related Information'!H121)))</f>
        <v>80.732417811069496</v>
      </c>
    </row>
    <row r="183" spans="1:8">
      <c r="A183" s="89">
        <v>23</v>
      </c>
      <c r="B183" s="90" t="s">
        <v>602</v>
      </c>
      <c r="C183" s="89" t="s">
        <v>268</v>
      </c>
      <c r="D183" s="98">
        <f>IF(OR('Equity Related Information'!D132="na",'Equity Related Information'!D133="na"),"na",IF(OR('Equity Related Information'!D132="nd",'Equity Related Information'!D133="nd"),"nd",IF('Equity Related Information'!D132=0,0,'Equity Related Information'!D133/'Equity Related Information'!D132*100)))</f>
        <v>0</v>
      </c>
      <c r="E183" s="98">
        <f>IF(OR('Equity Related Information'!E132="na",'Equity Related Information'!E133="na"),"na",IF(OR('Equity Related Information'!E132="nd",'Equity Related Information'!E133="nd"),"nd",IF('Equity Related Information'!E132=0,0,'Equity Related Information'!E133/'Equity Related Information'!E132*100)))</f>
        <v>0</v>
      </c>
      <c r="F183" s="98">
        <f>IF(OR('Equity Related Information'!E132="na",'Equity Related Information'!E133="na"),"na",IF(OR('Equity Related Information'!E132="nd",'Equity Related Information'!E133="nd"),"nd",IF('Equity Related Information'!E132=0,0,'Equity Related Information'!E133/'Equity Related Information'!E132*100)))</f>
        <v>0</v>
      </c>
      <c r="G183" s="98">
        <f>IF(OR('Equity Related Information'!F132="na",'Equity Related Information'!F133="na"),"na",IF(OR('Equity Related Information'!F132="nd",'Equity Related Information'!F133="nd"),"nd",IF('Equity Related Information'!F132=0,0,'Equity Related Information'!F133/'Equity Related Information'!F132*100)))</f>
        <v>0</v>
      </c>
      <c r="H183" s="98" t="e">
        <f>IF(OR('Equity Related Information'!#REF!="na",'Equity Related Information'!#REF!="na"),"na",IF(OR('Equity Related Information'!#REF!="nd",'Equity Related Information'!#REF!="nd"),"nd",IF('Equity Related Information'!#REF!=0,0,'Equity Related Information'!#REF!/'Equity Related Information'!#REF!*100)))</f>
        <v>#REF!</v>
      </c>
    </row>
    <row r="184" spans="1:8">
      <c r="A184" s="89">
        <v>24</v>
      </c>
      <c r="B184" s="90" t="s">
        <v>603</v>
      </c>
      <c r="C184" s="89" t="s">
        <v>477</v>
      </c>
      <c r="D184" s="98" t="e">
        <f>IF(OR(D57="nd",'Equity Related Information'!D120="nd",'Equity Related Information'!D121="nd"),"nd",D57/(SUM('Equity Related Information'!D120,'Equity Related Information'!D121)/1000))</f>
        <v>#DIV/0!</v>
      </c>
      <c r="E184" s="98" t="str">
        <f>IF(OR(E57="nd",'Equity Related Information'!E120="nd",'Equity Related Information'!E121="nd"),"nd",E57/(SUM('Equity Related Information'!E120,'Equity Related Information'!E121)/1000))</f>
        <v>nd</v>
      </c>
      <c r="F184" s="98" t="str">
        <f>IF(OR(F57="nd",'Equity Related Information'!F120="nd",'Equity Related Information'!F121="nd"),"nd",F57/(SUM('Equity Related Information'!F120,'Equity Related Information'!F121)/1000))</f>
        <v>nd</v>
      </c>
      <c r="G184" s="98">
        <f>IF(OR(G57="nd",'Equity Related Information'!G120="nd",'Equity Related Information'!G121="nd"),"nd",G57/(SUM('Equity Related Information'!G120,'Equity Related Information'!G121)/1000))</f>
        <v>16.878804648588822</v>
      </c>
      <c r="H184" s="98">
        <f>IF(OR(H57="nd",'Equity Related Information'!H120="nd",'Equity Related Information'!H121="nd"),"nd",H57/(SUM('Equity Related Information'!H120,'Equity Related Information'!H121)/1000))</f>
        <v>43.140518795949511</v>
      </c>
    </row>
    <row r="185" spans="1:8">
      <c r="A185" s="89">
        <v>25</v>
      </c>
      <c r="B185" s="90" t="s">
        <v>604</v>
      </c>
      <c r="C185" s="89" t="s">
        <v>271</v>
      </c>
      <c r="D185" s="98">
        <f>IF('Equity Related Information'!D123="na","na",IF('Equity Related Information'!D123="nd","nd",'Equity Related Information'!D123))</f>
        <v>0</v>
      </c>
      <c r="E185" s="98" t="str">
        <f>IF('Equity Related Information'!E123="na","na",IF('Equity Related Information'!E123="nd","nd",'Equity Related Information'!E123))</f>
        <v>nd</v>
      </c>
      <c r="F185" s="98" t="str">
        <f>IF('Equity Related Information'!F123="na","na",IF('Equity Related Information'!F123="nd","nd",'Equity Related Information'!F123))</f>
        <v>nd</v>
      </c>
      <c r="G185" s="98" t="str">
        <f>IF('Equity Related Information'!G123="na","na",IF('Equity Related Information'!G123="nd","nd",'Equity Related Information'!G123))</f>
        <v>nd</v>
      </c>
      <c r="H185" s="98">
        <f>IF('Equity Related Information'!H123="na","na",IF('Equity Related Information'!H123="nd","nd",'Equity Related Information'!H123))</f>
        <v>1</v>
      </c>
    </row>
    <row r="186" spans="1:8">
      <c r="A186" s="89">
        <v>26</v>
      </c>
      <c r="B186" s="90" t="s">
        <v>496</v>
      </c>
      <c r="C186" s="89" t="s">
        <v>268</v>
      </c>
      <c r="D186" s="98">
        <f>IF(OR(D71="nd",D75="nd"),"nd",IF(D71="na","na",D71/SUM(D71,D75)*100))</f>
        <v>36.54108034498411</v>
      </c>
      <c r="E186" s="98">
        <f>IF(OR(E71="nd",E75="nd"),"nd",IF(E71="na","na",E71/SUM(E71,E75)*100))</f>
        <v>32.909668633681342</v>
      </c>
      <c r="F186" s="98">
        <f>IF(OR(F71="nd",F75="nd"),"nd",IF(F71="na","na",F71/SUM(F71,F75)*100))</f>
        <v>36.822810590631363</v>
      </c>
      <c r="G186" s="98">
        <f>IF(OR(G71="nd",G75="nd"),"nd",IF(G71="na","na",G71/SUM(G71,G75)*100))</f>
        <v>32.445208422862052</v>
      </c>
      <c r="H186" s="98">
        <f>IF(OR(H71="nd",H75="nd"),"nd",IF(H71="na","na",H71/SUM(H71,H75)*100))</f>
        <v>32.445208422862052</v>
      </c>
    </row>
  </sheetData>
  <mergeCells count="6">
    <mergeCell ref="A93:E93"/>
    <mergeCell ref="A1:H1"/>
    <mergeCell ref="A2:E2"/>
    <mergeCell ref="A3:H3"/>
    <mergeCell ref="A83:E83"/>
    <mergeCell ref="A88:E88"/>
  </mergeCells>
  <pageMargins left="0.7" right="0.7" top="0.75" bottom="0.75" header="0.51180555555555551" footer="0.51180555555555551"/>
  <pageSetup scale="60" firstPageNumber="0" orientation="portrait" horizontalDpi="300" verticalDpi="300"/>
  <headerFooter alignWithMargins="0"/>
  <rowBreaks count="3" manualBreakCount="3">
    <brk id="45" max="16383" man="1"/>
    <brk id="92" max="16383" man="1"/>
    <brk id="128" max="16383" man="1"/>
  </rowBreaks>
</worksheet>
</file>

<file path=xl/worksheets/sheet7.xml><?xml version="1.0" encoding="utf-8"?>
<worksheet xmlns="http://schemas.openxmlformats.org/spreadsheetml/2006/main" xmlns:r="http://schemas.openxmlformats.org/officeDocument/2006/relationships">
  <dimension ref="A1:IV178"/>
  <sheetViews>
    <sheetView topLeftCell="A79" workbookViewId="0">
      <selection activeCell="I97" sqref="I97"/>
    </sheetView>
  </sheetViews>
  <sheetFormatPr defaultRowHeight="15"/>
  <cols>
    <col min="1" max="1" width="5.5703125" style="20" bestFit="1" customWidth="1"/>
    <col min="2" max="2" width="80" style="20" bestFit="1" customWidth="1"/>
    <col min="3" max="3" width="16.5703125" style="20" bestFit="1" customWidth="1"/>
    <col min="4" max="8" width="11.140625" style="20" bestFit="1" customWidth="1"/>
    <col min="9" max="256" width="9.140625" style="20" bestFit="1" customWidth="1"/>
    <col min="257" max="257" width="5.5703125" style="49" bestFit="1" customWidth="1"/>
    <col min="258" max="258" width="80" style="49" bestFit="1" customWidth="1"/>
    <col min="259" max="259" width="16.5703125" style="49" bestFit="1" customWidth="1"/>
    <col min="260" max="264" width="11.140625" style="49" bestFit="1" customWidth="1"/>
    <col min="265" max="512" width="9.140625" style="49" bestFit="1" customWidth="1"/>
    <col min="513" max="513" width="5.5703125" style="49" bestFit="1" customWidth="1"/>
    <col min="514" max="514" width="80" style="49" bestFit="1" customWidth="1"/>
    <col min="515" max="515" width="16.5703125" style="49" bestFit="1" customWidth="1"/>
    <col min="516" max="520" width="11.140625" style="49" bestFit="1" customWidth="1"/>
    <col min="521" max="768" width="9.140625" style="49" bestFit="1" customWidth="1"/>
    <col min="769" max="769" width="5.5703125" style="49" bestFit="1" customWidth="1"/>
    <col min="770" max="770" width="80" style="49" bestFit="1" customWidth="1"/>
    <col min="771" max="771" width="16.5703125" style="49" bestFit="1" customWidth="1"/>
    <col min="772" max="776" width="11.140625" style="49" bestFit="1" customWidth="1"/>
    <col min="777" max="1024" width="9.140625" style="49" bestFit="1" customWidth="1"/>
    <col min="1025" max="1025" width="5.5703125" style="49" bestFit="1" customWidth="1"/>
    <col min="1026" max="1026" width="80" style="49" bestFit="1" customWidth="1"/>
    <col min="1027" max="1027" width="16.5703125" style="49" bestFit="1" customWidth="1"/>
    <col min="1028" max="1032" width="11.140625" style="49" bestFit="1" customWidth="1"/>
    <col min="1033" max="1280" width="9.140625" style="49" bestFit="1" customWidth="1"/>
    <col min="1281" max="1281" width="5.5703125" style="49" bestFit="1" customWidth="1"/>
    <col min="1282" max="1282" width="80" style="49" bestFit="1" customWidth="1"/>
    <col min="1283" max="1283" width="16.5703125" style="49" bestFit="1" customWidth="1"/>
    <col min="1284" max="1288" width="11.140625" style="49" bestFit="1" customWidth="1"/>
    <col min="1289" max="1536" width="9.140625" style="49" bestFit="1" customWidth="1"/>
    <col min="1537" max="1537" width="5.5703125" style="49" bestFit="1" customWidth="1"/>
    <col min="1538" max="1538" width="80" style="49" bestFit="1" customWidth="1"/>
    <col min="1539" max="1539" width="16.5703125" style="49" bestFit="1" customWidth="1"/>
    <col min="1540" max="1544" width="11.140625" style="49" bestFit="1" customWidth="1"/>
    <col min="1545" max="1792" width="9.140625" style="49" bestFit="1" customWidth="1"/>
    <col min="1793" max="1793" width="5.5703125" style="49" bestFit="1" customWidth="1"/>
    <col min="1794" max="1794" width="80" style="49" bestFit="1" customWidth="1"/>
    <col min="1795" max="1795" width="16.5703125" style="49" bestFit="1" customWidth="1"/>
    <col min="1796" max="1800" width="11.140625" style="49" bestFit="1" customWidth="1"/>
    <col min="1801" max="2048" width="9.140625" style="49" bestFit="1" customWidth="1"/>
    <col min="2049" max="2049" width="5.5703125" style="49" bestFit="1" customWidth="1"/>
    <col min="2050" max="2050" width="80" style="49" bestFit="1" customWidth="1"/>
    <col min="2051" max="2051" width="16.5703125" style="49" bestFit="1" customWidth="1"/>
    <col min="2052" max="2056" width="11.140625" style="49" bestFit="1" customWidth="1"/>
    <col min="2057" max="2304" width="9.140625" style="49" bestFit="1" customWidth="1"/>
    <col min="2305" max="2305" width="5.5703125" style="49" bestFit="1" customWidth="1"/>
    <col min="2306" max="2306" width="80" style="49" bestFit="1" customWidth="1"/>
    <col min="2307" max="2307" width="16.5703125" style="49" bestFit="1" customWidth="1"/>
    <col min="2308" max="2312" width="11.140625" style="49" bestFit="1" customWidth="1"/>
    <col min="2313" max="2560" width="9.140625" style="49" bestFit="1" customWidth="1"/>
    <col min="2561" max="2561" width="5.5703125" style="49" bestFit="1" customWidth="1"/>
    <col min="2562" max="2562" width="80" style="49" bestFit="1" customWidth="1"/>
    <col min="2563" max="2563" width="16.5703125" style="49" bestFit="1" customWidth="1"/>
    <col min="2564" max="2568" width="11.140625" style="49" bestFit="1" customWidth="1"/>
    <col min="2569" max="2816" width="9.140625" style="49" bestFit="1" customWidth="1"/>
    <col min="2817" max="2817" width="5.5703125" style="49" bestFit="1" customWidth="1"/>
    <col min="2818" max="2818" width="80" style="49" bestFit="1" customWidth="1"/>
    <col min="2819" max="2819" width="16.5703125" style="49" bestFit="1" customWidth="1"/>
    <col min="2820" max="2824" width="11.140625" style="49" bestFit="1" customWidth="1"/>
    <col min="2825" max="3072" width="9.140625" style="49" bestFit="1" customWidth="1"/>
    <col min="3073" max="3073" width="5.5703125" style="49" bestFit="1" customWidth="1"/>
    <col min="3074" max="3074" width="80" style="49" bestFit="1" customWidth="1"/>
    <col min="3075" max="3075" width="16.5703125" style="49" bestFit="1" customWidth="1"/>
    <col min="3076" max="3080" width="11.140625" style="49" bestFit="1" customWidth="1"/>
    <col min="3081" max="3328" width="9.140625" style="49" bestFit="1" customWidth="1"/>
    <col min="3329" max="3329" width="5.5703125" style="49" bestFit="1" customWidth="1"/>
    <col min="3330" max="3330" width="80" style="49" bestFit="1" customWidth="1"/>
    <col min="3331" max="3331" width="16.5703125" style="49" bestFit="1" customWidth="1"/>
    <col min="3332" max="3336" width="11.140625" style="49" bestFit="1" customWidth="1"/>
    <col min="3337" max="3584" width="9.140625" style="49" bestFit="1" customWidth="1"/>
    <col min="3585" max="3585" width="5.5703125" style="49" bestFit="1" customWidth="1"/>
    <col min="3586" max="3586" width="80" style="49" bestFit="1" customWidth="1"/>
    <col min="3587" max="3587" width="16.5703125" style="49" bestFit="1" customWidth="1"/>
    <col min="3588" max="3592" width="11.140625" style="49" bestFit="1" customWidth="1"/>
    <col min="3593" max="3840" width="9.140625" style="49" bestFit="1" customWidth="1"/>
    <col min="3841" max="3841" width="5.5703125" style="49" bestFit="1" customWidth="1"/>
    <col min="3842" max="3842" width="80" style="49" bestFit="1" customWidth="1"/>
    <col min="3843" max="3843" width="16.5703125" style="49" bestFit="1" customWidth="1"/>
    <col min="3844" max="3848" width="11.140625" style="49" bestFit="1" customWidth="1"/>
    <col min="3849" max="4096" width="9.140625" style="49" bestFit="1" customWidth="1"/>
    <col min="4097" max="4097" width="5.5703125" style="49" bestFit="1" customWidth="1"/>
    <col min="4098" max="4098" width="80" style="49" bestFit="1" customWidth="1"/>
    <col min="4099" max="4099" width="16.5703125" style="49" bestFit="1" customWidth="1"/>
    <col min="4100" max="4104" width="11.140625" style="49" bestFit="1" customWidth="1"/>
    <col min="4105" max="4352" width="9.140625" style="49" bestFit="1" customWidth="1"/>
    <col min="4353" max="4353" width="5.5703125" style="49" bestFit="1" customWidth="1"/>
    <col min="4354" max="4354" width="80" style="49" bestFit="1" customWidth="1"/>
    <col min="4355" max="4355" width="16.5703125" style="49" bestFit="1" customWidth="1"/>
    <col min="4356" max="4360" width="11.140625" style="49" bestFit="1" customWidth="1"/>
    <col min="4361" max="4608" width="9.140625" style="49" bestFit="1" customWidth="1"/>
    <col min="4609" max="4609" width="5.5703125" style="49" bestFit="1" customWidth="1"/>
    <col min="4610" max="4610" width="80" style="49" bestFit="1" customWidth="1"/>
    <col min="4611" max="4611" width="16.5703125" style="49" bestFit="1" customWidth="1"/>
    <col min="4612" max="4616" width="11.140625" style="49" bestFit="1" customWidth="1"/>
    <col min="4617" max="4864" width="9.140625" style="49" bestFit="1" customWidth="1"/>
    <col min="4865" max="4865" width="5.5703125" style="49" bestFit="1" customWidth="1"/>
    <col min="4866" max="4866" width="80" style="49" bestFit="1" customWidth="1"/>
    <col min="4867" max="4867" width="16.5703125" style="49" bestFit="1" customWidth="1"/>
    <col min="4868" max="4872" width="11.140625" style="49" bestFit="1" customWidth="1"/>
    <col min="4873" max="5120" width="9.140625" style="49" bestFit="1" customWidth="1"/>
    <col min="5121" max="5121" width="5.5703125" style="49" bestFit="1" customWidth="1"/>
    <col min="5122" max="5122" width="80" style="49" bestFit="1" customWidth="1"/>
    <col min="5123" max="5123" width="16.5703125" style="49" bestFit="1" customWidth="1"/>
    <col min="5124" max="5128" width="11.140625" style="49" bestFit="1" customWidth="1"/>
    <col min="5129" max="5376" width="9.140625" style="49" bestFit="1" customWidth="1"/>
    <col min="5377" max="5377" width="5.5703125" style="49" bestFit="1" customWidth="1"/>
    <col min="5378" max="5378" width="80" style="49" bestFit="1" customWidth="1"/>
    <col min="5379" max="5379" width="16.5703125" style="49" bestFit="1" customWidth="1"/>
    <col min="5380" max="5384" width="11.140625" style="49" bestFit="1" customWidth="1"/>
    <col min="5385" max="5632" width="9.140625" style="49" bestFit="1" customWidth="1"/>
    <col min="5633" max="5633" width="5.5703125" style="49" bestFit="1" customWidth="1"/>
    <col min="5634" max="5634" width="80" style="49" bestFit="1" customWidth="1"/>
    <col min="5635" max="5635" width="16.5703125" style="49" bestFit="1" customWidth="1"/>
    <col min="5636" max="5640" width="11.140625" style="49" bestFit="1" customWidth="1"/>
    <col min="5641" max="5888" width="9.140625" style="49" bestFit="1" customWidth="1"/>
    <col min="5889" max="5889" width="5.5703125" style="49" bestFit="1" customWidth="1"/>
    <col min="5890" max="5890" width="80" style="49" bestFit="1" customWidth="1"/>
    <col min="5891" max="5891" width="16.5703125" style="49" bestFit="1" customWidth="1"/>
    <col min="5892" max="5896" width="11.140625" style="49" bestFit="1" customWidth="1"/>
    <col min="5897" max="6144" width="9.140625" style="49" bestFit="1" customWidth="1"/>
    <col min="6145" max="6145" width="5.5703125" style="49" bestFit="1" customWidth="1"/>
    <col min="6146" max="6146" width="80" style="49" bestFit="1" customWidth="1"/>
    <col min="6147" max="6147" width="16.5703125" style="49" bestFit="1" customWidth="1"/>
    <col min="6148" max="6152" width="11.140625" style="49" bestFit="1" customWidth="1"/>
    <col min="6153" max="6400" width="9.140625" style="49" bestFit="1" customWidth="1"/>
    <col min="6401" max="6401" width="5.5703125" style="49" bestFit="1" customWidth="1"/>
    <col min="6402" max="6402" width="80" style="49" bestFit="1" customWidth="1"/>
    <col min="6403" max="6403" width="16.5703125" style="49" bestFit="1" customWidth="1"/>
    <col min="6404" max="6408" width="11.140625" style="49" bestFit="1" customWidth="1"/>
    <col min="6409" max="6656" width="9.140625" style="49" bestFit="1" customWidth="1"/>
    <col min="6657" max="6657" width="5.5703125" style="49" bestFit="1" customWidth="1"/>
    <col min="6658" max="6658" width="80" style="49" bestFit="1" customWidth="1"/>
    <col min="6659" max="6659" width="16.5703125" style="49" bestFit="1" customWidth="1"/>
    <col min="6660" max="6664" width="11.140625" style="49" bestFit="1" customWidth="1"/>
    <col min="6665" max="6912" width="9.140625" style="49" bestFit="1" customWidth="1"/>
    <col min="6913" max="6913" width="5.5703125" style="49" bestFit="1" customWidth="1"/>
    <col min="6914" max="6914" width="80" style="49" bestFit="1" customWidth="1"/>
    <col min="6915" max="6915" width="16.5703125" style="49" bestFit="1" customWidth="1"/>
    <col min="6916" max="6920" width="11.140625" style="49" bestFit="1" customWidth="1"/>
    <col min="6921" max="7168" width="9.140625" style="49" bestFit="1" customWidth="1"/>
    <col min="7169" max="7169" width="5.5703125" style="49" bestFit="1" customWidth="1"/>
    <col min="7170" max="7170" width="80" style="49" bestFit="1" customWidth="1"/>
    <col min="7171" max="7171" width="16.5703125" style="49" bestFit="1" customWidth="1"/>
    <col min="7172" max="7176" width="11.140625" style="49" bestFit="1" customWidth="1"/>
    <col min="7177" max="7424" width="9.140625" style="49" bestFit="1" customWidth="1"/>
    <col min="7425" max="7425" width="5.5703125" style="49" bestFit="1" customWidth="1"/>
    <col min="7426" max="7426" width="80" style="49" bestFit="1" customWidth="1"/>
    <col min="7427" max="7427" width="16.5703125" style="49" bestFit="1" customWidth="1"/>
    <col min="7428" max="7432" width="11.140625" style="49" bestFit="1" customWidth="1"/>
    <col min="7433" max="7680" width="9.140625" style="49" bestFit="1" customWidth="1"/>
    <col min="7681" max="7681" width="5.5703125" style="49" bestFit="1" customWidth="1"/>
    <col min="7682" max="7682" width="80" style="49" bestFit="1" customWidth="1"/>
    <col min="7683" max="7683" width="16.5703125" style="49" bestFit="1" customWidth="1"/>
    <col min="7684" max="7688" width="11.140625" style="49" bestFit="1" customWidth="1"/>
    <col min="7689" max="7936" width="9.140625" style="49" bestFit="1" customWidth="1"/>
    <col min="7937" max="7937" width="5.5703125" style="49" bestFit="1" customWidth="1"/>
    <col min="7938" max="7938" width="80" style="49" bestFit="1" customWidth="1"/>
    <col min="7939" max="7939" width="16.5703125" style="49" bestFit="1" customWidth="1"/>
    <col min="7940" max="7944" width="11.140625" style="49" bestFit="1" customWidth="1"/>
    <col min="7945" max="8192" width="9.140625" style="49" bestFit="1" customWidth="1"/>
    <col min="8193" max="8193" width="5.5703125" style="49" bestFit="1" customWidth="1"/>
    <col min="8194" max="8194" width="80" style="49" bestFit="1" customWidth="1"/>
    <col min="8195" max="8195" width="16.5703125" style="49" bestFit="1" customWidth="1"/>
    <col min="8196" max="8200" width="11.140625" style="49" bestFit="1" customWidth="1"/>
    <col min="8201" max="8448" width="9.140625" style="49" bestFit="1" customWidth="1"/>
    <col min="8449" max="8449" width="5.5703125" style="49" bestFit="1" customWidth="1"/>
    <col min="8450" max="8450" width="80" style="49" bestFit="1" customWidth="1"/>
    <col min="8451" max="8451" width="16.5703125" style="49" bestFit="1" customWidth="1"/>
    <col min="8452" max="8456" width="11.140625" style="49" bestFit="1" customWidth="1"/>
    <col min="8457" max="8704" width="9.140625" style="49" bestFit="1" customWidth="1"/>
    <col min="8705" max="8705" width="5.5703125" style="49" bestFit="1" customWidth="1"/>
    <col min="8706" max="8706" width="80" style="49" bestFit="1" customWidth="1"/>
    <col min="8707" max="8707" width="16.5703125" style="49" bestFit="1" customWidth="1"/>
    <col min="8708" max="8712" width="11.140625" style="49" bestFit="1" customWidth="1"/>
    <col min="8713" max="8960" width="9.140625" style="49" bestFit="1" customWidth="1"/>
    <col min="8961" max="8961" width="5.5703125" style="49" bestFit="1" customWidth="1"/>
    <col min="8962" max="8962" width="80" style="49" bestFit="1" customWidth="1"/>
    <col min="8963" max="8963" width="16.5703125" style="49" bestFit="1" customWidth="1"/>
    <col min="8964" max="8968" width="11.140625" style="49" bestFit="1" customWidth="1"/>
    <col min="8969" max="9216" width="9.140625" style="49" bestFit="1" customWidth="1"/>
    <col min="9217" max="9217" width="5.5703125" style="49" bestFit="1" customWidth="1"/>
    <col min="9218" max="9218" width="80" style="49" bestFit="1" customWidth="1"/>
    <col min="9219" max="9219" width="16.5703125" style="49" bestFit="1" customWidth="1"/>
    <col min="9220" max="9224" width="11.140625" style="49" bestFit="1" customWidth="1"/>
    <col min="9225" max="9472" width="9.140625" style="49" bestFit="1" customWidth="1"/>
    <col min="9473" max="9473" width="5.5703125" style="49" bestFit="1" customWidth="1"/>
    <col min="9474" max="9474" width="80" style="49" bestFit="1" customWidth="1"/>
    <col min="9475" max="9475" width="16.5703125" style="49" bestFit="1" customWidth="1"/>
    <col min="9476" max="9480" width="11.140625" style="49" bestFit="1" customWidth="1"/>
    <col min="9481" max="9728" width="9.140625" style="49" bestFit="1" customWidth="1"/>
    <col min="9729" max="9729" width="5.5703125" style="49" bestFit="1" customWidth="1"/>
    <col min="9730" max="9730" width="80" style="49" bestFit="1" customWidth="1"/>
    <col min="9731" max="9731" width="16.5703125" style="49" bestFit="1" customWidth="1"/>
    <col min="9732" max="9736" width="11.140625" style="49" bestFit="1" customWidth="1"/>
    <col min="9737" max="9984" width="9.140625" style="49" bestFit="1" customWidth="1"/>
    <col min="9985" max="9985" width="5.5703125" style="49" bestFit="1" customWidth="1"/>
    <col min="9986" max="9986" width="80" style="49" bestFit="1" customWidth="1"/>
    <col min="9987" max="9987" width="16.5703125" style="49" bestFit="1" customWidth="1"/>
    <col min="9988" max="9992" width="11.140625" style="49" bestFit="1" customWidth="1"/>
    <col min="9993" max="10240" width="9.140625" style="49" bestFit="1" customWidth="1"/>
    <col min="10241" max="10241" width="5.5703125" style="49" bestFit="1" customWidth="1"/>
    <col min="10242" max="10242" width="80" style="49" bestFit="1" customWidth="1"/>
    <col min="10243" max="10243" width="16.5703125" style="49" bestFit="1" customWidth="1"/>
    <col min="10244" max="10248" width="11.140625" style="49" bestFit="1" customWidth="1"/>
    <col min="10249" max="10496" width="9.140625" style="49" bestFit="1" customWidth="1"/>
    <col min="10497" max="10497" width="5.5703125" style="49" bestFit="1" customWidth="1"/>
    <col min="10498" max="10498" width="80" style="49" bestFit="1" customWidth="1"/>
    <col min="10499" max="10499" width="16.5703125" style="49" bestFit="1" customWidth="1"/>
    <col min="10500" max="10504" width="11.140625" style="49" bestFit="1" customWidth="1"/>
    <col min="10505" max="10752" width="9.140625" style="49" bestFit="1" customWidth="1"/>
    <col min="10753" max="10753" width="5.5703125" style="49" bestFit="1" customWidth="1"/>
    <col min="10754" max="10754" width="80" style="49" bestFit="1" customWidth="1"/>
    <col min="10755" max="10755" width="16.5703125" style="49" bestFit="1" customWidth="1"/>
    <col min="10756" max="10760" width="11.140625" style="49" bestFit="1" customWidth="1"/>
    <col min="10761" max="11008" width="9.140625" style="49" bestFit="1" customWidth="1"/>
    <col min="11009" max="11009" width="5.5703125" style="49" bestFit="1" customWidth="1"/>
    <col min="11010" max="11010" width="80" style="49" bestFit="1" customWidth="1"/>
    <col min="11011" max="11011" width="16.5703125" style="49" bestFit="1" customWidth="1"/>
    <col min="11012" max="11016" width="11.140625" style="49" bestFit="1" customWidth="1"/>
    <col min="11017" max="11264" width="9.140625" style="49" bestFit="1" customWidth="1"/>
    <col min="11265" max="11265" width="5.5703125" style="49" bestFit="1" customWidth="1"/>
    <col min="11266" max="11266" width="80" style="49" bestFit="1" customWidth="1"/>
    <col min="11267" max="11267" width="16.5703125" style="49" bestFit="1" customWidth="1"/>
    <col min="11268" max="11272" width="11.140625" style="49" bestFit="1" customWidth="1"/>
    <col min="11273" max="11520" width="9.140625" style="49" bestFit="1" customWidth="1"/>
    <col min="11521" max="11521" width="5.5703125" style="49" bestFit="1" customWidth="1"/>
    <col min="11522" max="11522" width="80" style="49" bestFit="1" customWidth="1"/>
    <col min="11523" max="11523" width="16.5703125" style="49" bestFit="1" customWidth="1"/>
    <col min="11524" max="11528" width="11.140625" style="49" bestFit="1" customWidth="1"/>
    <col min="11529" max="11776" width="9.140625" style="49" bestFit="1" customWidth="1"/>
    <col min="11777" max="11777" width="5.5703125" style="49" bestFit="1" customWidth="1"/>
    <col min="11778" max="11778" width="80" style="49" bestFit="1" customWidth="1"/>
    <col min="11779" max="11779" width="16.5703125" style="49" bestFit="1" customWidth="1"/>
    <col min="11780" max="11784" width="11.140625" style="49" bestFit="1" customWidth="1"/>
    <col min="11785" max="12032" width="9.140625" style="49" bestFit="1" customWidth="1"/>
    <col min="12033" max="12033" width="5.5703125" style="49" bestFit="1" customWidth="1"/>
    <col min="12034" max="12034" width="80" style="49" bestFit="1" customWidth="1"/>
    <col min="12035" max="12035" width="16.5703125" style="49" bestFit="1" customWidth="1"/>
    <col min="12036" max="12040" width="11.140625" style="49" bestFit="1" customWidth="1"/>
    <col min="12041" max="12288" width="9.140625" style="49" bestFit="1" customWidth="1"/>
    <col min="12289" max="12289" width="5.5703125" style="49" bestFit="1" customWidth="1"/>
    <col min="12290" max="12290" width="80" style="49" bestFit="1" customWidth="1"/>
    <col min="12291" max="12291" width="16.5703125" style="49" bestFit="1" customWidth="1"/>
    <col min="12292" max="12296" width="11.140625" style="49" bestFit="1" customWidth="1"/>
    <col min="12297" max="12544" width="9.140625" style="49" bestFit="1" customWidth="1"/>
    <col min="12545" max="12545" width="5.5703125" style="49" bestFit="1" customWidth="1"/>
    <col min="12546" max="12546" width="80" style="49" bestFit="1" customWidth="1"/>
    <col min="12547" max="12547" width="16.5703125" style="49" bestFit="1" customWidth="1"/>
    <col min="12548" max="12552" width="11.140625" style="49" bestFit="1" customWidth="1"/>
    <col min="12553" max="12800" width="9.140625" style="49" bestFit="1" customWidth="1"/>
    <col min="12801" max="12801" width="5.5703125" style="49" bestFit="1" customWidth="1"/>
    <col min="12802" max="12802" width="80" style="49" bestFit="1" customWidth="1"/>
    <col min="12803" max="12803" width="16.5703125" style="49" bestFit="1" customWidth="1"/>
    <col min="12804" max="12808" width="11.140625" style="49" bestFit="1" customWidth="1"/>
    <col min="12809" max="13056" width="9.140625" style="49" bestFit="1" customWidth="1"/>
    <col min="13057" max="13057" width="5.5703125" style="49" bestFit="1" customWidth="1"/>
    <col min="13058" max="13058" width="80" style="49" bestFit="1" customWidth="1"/>
    <col min="13059" max="13059" width="16.5703125" style="49" bestFit="1" customWidth="1"/>
    <col min="13060" max="13064" width="11.140625" style="49" bestFit="1" customWidth="1"/>
    <col min="13065" max="13312" width="9.140625" style="49" bestFit="1" customWidth="1"/>
    <col min="13313" max="13313" width="5.5703125" style="49" bestFit="1" customWidth="1"/>
    <col min="13314" max="13314" width="80" style="49" bestFit="1" customWidth="1"/>
    <col min="13315" max="13315" width="16.5703125" style="49" bestFit="1" customWidth="1"/>
    <col min="13316" max="13320" width="11.140625" style="49" bestFit="1" customWidth="1"/>
    <col min="13321" max="13568" width="9.140625" style="49" bestFit="1" customWidth="1"/>
    <col min="13569" max="13569" width="5.5703125" style="49" bestFit="1" customWidth="1"/>
    <col min="13570" max="13570" width="80" style="49" bestFit="1" customWidth="1"/>
    <col min="13571" max="13571" width="16.5703125" style="49" bestFit="1" customWidth="1"/>
    <col min="13572" max="13576" width="11.140625" style="49" bestFit="1" customWidth="1"/>
    <col min="13577" max="13824" width="9.140625" style="49" bestFit="1" customWidth="1"/>
    <col min="13825" max="13825" width="5.5703125" style="49" bestFit="1" customWidth="1"/>
    <col min="13826" max="13826" width="80" style="49" bestFit="1" customWidth="1"/>
    <col min="13827" max="13827" width="16.5703125" style="49" bestFit="1" customWidth="1"/>
    <col min="13828" max="13832" width="11.140625" style="49" bestFit="1" customWidth="1"/>
    <col min="13833" max="14080" width="9.140625" style="49" bestFit="1" customWidth="1"/>
    <col min="14081" max="14081" width="5.5703125" style="49" bestFit="1" customWidth="1"/>
    <col min="14082" max="14082" width="80" style="49" bestFit="1" customWidth="1"/>
    <col min="14083" max="14083" width="16.5703125" style="49" bestFit="1" customWidth="1"/>
    <col min="14084" max="14088" width="11.140625" style="49" bestFit="1" customWidth="1"/>
    <col min="14089" max="14336" width="9.140625" style="49" bestFit="1" customWidth="1"/>
    <col min="14337" max="14337" width="5.5703125" style="49" bestFit="1" customWidth="1"/>
    <col min="14338" max="14338" width="80" style="49" bestFit="1" customWidth="1"/>
    <col min="14339" max="14339" width="16.5703125" style="49" bestFit="1" customWidth="1"/>
    <col min="14340" max="14344" width="11.140625" style="49" bestFit="1" customWidth="1"/>
    <col min="14345" max="14592" width="9.140625" style="49" bestFit="1" customWidth="1"/>
    <col min="14593" max="14593" width="5.5703125" style="49" bestFit="1" customWidth="1"/>
    <col min="14594" max="14594" width="80" style="49" bestFit="1" customWidth="1"/>
    <col min="14595" max="14595" width="16.5703125" style="49" bestFit="1" customWidth="1"/>
    <col min="14596" max="14600" width="11.140625" style="49" bestFit="1" customWidth="1"/>
    <col min="14601" max="14848" width="9.140625" style="49" bestFit="1" customWidth="1"/>
    <col min="14849" max="14849" width="5.5703125" style="49" bestFit="1" customWidth="1"/>
    <col min="14850" max="14850" width="80" style="49" bestFit="1" customWidth="1"/>
    <col min="14851" max="14851" width="16.5703125" style="49" bestFit="1" customWidth="1"/>
    <col min="14852" max="14856" width="11.140625" style="49" bestFit="1" customWidth="1"/>
    <col min="14857" max="15104" width="9.140625" style="49" bestFit="1" customWidth="1"/>
    <col min="15105" max="15105" width="5.5703125" style="49" bestFit="1" customWidth="1"/>
    <col min="15106" max="15106" width="80" style="49" bestFit="1" customWidth="1"/>
    <col min="15107" max="15107" width="16.5703125" style="49" bestFit="1" customWidth="1"/>
    <col min="15108" max="15112" width="11.140625" style="49" bestFit="1" customWidth="1"/>
    <col min="15113" max="15360" width="9.140625" style="49" bestFit="1" customWidth="1"/>
    <col min="15361" max="15361" width="5.5703125" style="49" bestFit="1" customWidth="1"/>
    <col min="15362" max="15362" width="80" style="49" bestFit="1" customWidth="1"/>
    <col min="15363" max="15363" width="16.5703125" style="49" bestFit="1" customWidth="1"/>
    <col min="15364" max="15368" width="11.140625" style="49" bestFit="1" customWidth="1"/>
    <col min="15369" max="15616" width="9.140625" style="49" bestFit="1" customWidth="1"/>
    <col min="15617" max="15617" width="5.5703125" style="49" bestFit="1" customWidth="1"/>
    <col min="15618" max="15618" width="80" style="49" bestFit="1" customWidth="1"/>
    <col min="15619" max="15619" width="16.5703125" style="49" bestFit="1" customWidth="1"/>
    <col min="15620" max="15624" width="11.140625" style="49" bestFit="1" customWidth="1"/>
    <col min="15625" max="15872" width="9.140625" style="49" bestFit="1" customWidth="1"/>
    <col min="15873" max="15873" width="5.5703125" style="49" bestFit="1" customWidth="1"/>
    <col min="15874" max="15874" width="80" style="49" bestFit="1" customWidth="1"/>
    <col min="15875" max="15875" width="16.5703125" style="49" bestFit="1" customWidth="1"/>
    <col min="15876" max="15880" width="11.140625" style="49" bestFit="1" customWidth="1"/>
    <col min="15881" max="16128" width="9.140625" style="49" bestFit="1" customWidth="1"/>
    <col min="16129" max="16129" width="5.5703125" style="49" bestFit="1" customWidth="1"/>
    <col min="16130" max="16130" width="80" style="49" bestFit="1" customWidth="1"/>
    <col min="16131" max="16131" width="16.5703125" style="49" bestFit="1" customWidth="1"/>
    <col min="16132" max="16136" width="11.140625" style="49" bestFit="1" customWidth="1"/>
    <col min="16137" max="16384" width="9.140625" style="49" bestFit="1" customWidth="1"/>
  </cols>
  <sheetData>
    <row r="1" spans="1:8" ht="15.75">
      <c r="A1" s="836" t="s">
        <v>254</v>
      </c>
      <c r="B1" s="836"/>
      <c r="C1" s="836"/>
      <c r="D1" s="836"/>
      <c r="E1" s="836"/>
      <c r="F1" s="836"/>
      <c r="G1" s="836"/>
      <c r="H1" s="836"/>
    </row>
    <row r="2" spans="1:8" ht="15.75">
      <c r="A2" s="836"/>
      <c r="B2" s="836"/>
      <c r="C2" s="836"/>
      <c r="D2" s="836"/>
      <c r="E2" s="836"/>
      <c r="F2" s="50"/>
      <c r="G2" s="50"/>
      <c r="H2" s="50"/>
    </row>
    <row r="3" spans="1:8" ht="15.75">
      <c r="A3" s="837" t="s">
        <v>102</v>
      </c>
      <c r="B3" s="837"/>
      <c r="C3" s="837"/>
      <c r="D3" s="837"/>
      <c r="E3" s="837"/>
      <c r="F3" s="837"/>
      <c r="G3" s="837"/>
      <c r="H3" s="837"/>
    </row>
    <row r="4" spans="1:8">
      <c r="A4" s="22" t="s">
        <v>256</v>
      </c>
      <c r="B4" s="22" t="s">
        <v>257</v>
      </c>
      <c r="C4" s="51" t="s">
        <v>258</v>
      </c>
      <c r="D4" s="290" t="str">
        <f>'General Info'!D4</f>
        <v>FY 2008-2009</v>
      </c>
      <c r="E4" s="290" t="str">
        <f>'General Info'!E4</f>
        <v>FY 2009-2010</v>
      </c>
      <c r="F4" s="290" t="str">
        <f>'General Info'!F4</f>
        <v>FY 2010-2011</v>
      </c>
      <c r="G4" s="290" t="str">
        <f>'General Info'!G4</f>
        <v>FY 2011-2012</v>
      </c>
      <c r="H4" s="290" t="str">
        <f>'General Info'!H4</f>
        <v>FY 2012-2013</v>
      </c>
    </row>
    <row r="5" spans="1:8">
      <c r="A5" s="114"/>
      <c r="B5" s="114" t="s">
        <v>605</v>
      </c>
      <c r="C5" s="114"/>
      <c r="D5" s="71">
        <f>IF(OR(D12="nd",'General Info'!D10="nd",'General Info'!D25="nd"),"nd",D12*100/SUM('General Info'!D10,'General Info'!D25))</f>
        <v>99.710462820794035</v>
      </c>
      <c r="E5" s="71">
        <f>IF(OR(E12="nd",'General Info'!E10="nd",'General Info'!E25="nd"),"nd",E12*100/SUM('General Info'!E10,'General Info'!E25))</f>
        <v>92.588862559241704</v>
      </c>
      <c r="F5" s="71">
        <f>IF(OR(F12="nd",'General Info'!F10="nd",'General Info'!F25="nd"),"nd",F12*100/SUM('General Info'!F10,'General Info'!F25))</f>
        <v>91.190381218303031</v>
      </c>
      <c r="G5" s="71">
        <f>IF(OR(G12="nd",'General Info'!G10="nd",'General Info'!G25="nd"),"nd",G12*100/SUM('General Info'!G10,'General Info'!G25))</f>
        <v>93.208949324057244</v>
      </c>
      <c r="H5" s="71">
        <f>IF(OR(H12="nd",'General Info'!H10="nd",'General Info'!H25="nd"),"nd",H12*100/SUM('General Info'!H10,'General Info'!H25))</f>
        <v>99.730447841657366</v>
      </c>
    </row>
    <row r="6" spans="1:8">
      <c r="A6" s="140"/>
      <c r="B6" s="140" t="s">
        <v>606</v>
      </c>
      <c r="C6" s="140"/>
      <c r="D6" s="108"/>
      <c r="E6" s="108"/>
      <c r="F6" s="108"/>
      <c r="G6" s="108"/>
      <c r="H6" s="108"/>
    </row>
    <row r="7" spans="1:8" ht="15.75" thickBot="1">
      <c r="A7" s="141">
        <v>1</v>
      </c>
      <c r="B7" s="110" t="s">
        <v>607</v>
      </c>
      <c r="C7" s="30" t="s">
        <v>271</v>
      </c>
      <c r="D7" s="31">
        <v>15529</v>
      </c>
      <c r="E7" s="31">
        <v>14925</v>
      </c>
      <c r="F7" s="31">
        <v>15299</v>
      </c>
      <c r="G7" s="31">
        <v>15636</v>
      </c>
      <c r="H7" s="31">
        <v>17800</v>
      </c>
    </row>
    <row r="8" spans="1:8" ht="15.75" thickBot="1">
      <c r="A8" s="141">
        <v>2</v>
      </c>
      <c r="B8" s="110" t="s">
        <v>608</v>
      </c>
      <c r="C8" s="30" t="s">
        <v>271</v>
      </c>
      <c r="D8" s="142"/>
      <c r="E8" s="31">
        <v>0</v>
      </c>
      <c r="F8" s="31">
        <v>0</v>
      </c>
      <c r="G8" s="31">
        <v>0</v>
      </c>
      <c r="H8" s="31">
        <v>136</v>
      </c>
    </row>
    <row r="9" spans="1:8" ht="15.75" thickBot="1">
      <c r="A9" s="141">
        <v>3</v>
      </c>
      <c r="B9" s="143" t="s">
        <v>609</v>
      </c>
      <c r="C9" s="30" t="s">
        <v>271</v>
      </c>
      <c r="D9" s="142"/>
      <c r="E9" s="31">
        <v>0</v>
      </c>
      <c r="F9" s="31">
        <v>0</v>
      </c>
      <c r="G9" s="31">
        <v>0</v>
      </c>
      <c r="H9" s="31">
        <v>7963</v>
      </c>
    </row>
    <row r="10" spans="1:8" ht="15.75" thickBot="1">
      <c r="A10" s="141">
        <v>4</v>
      </c>
      <c r="B10" s="143" t="s">
        <v>610</v>
      </c>
      <c r="C10" s="30" t="s">
        <v>271</v>
      </c>
      <c r="D10" s="142"/>
      <c r="E10" s="31">
        <v>0</v>
      </c>
      <c r="F10" s="31">
        <v>0</v>
      </c>
      <c r="G10" s="31">
        <v>0</v>
      </c>
      <c r="H10" s="31">
        <v>0</v>
      </c>
    </row>
    <row r="11" spans="1:8" ht="27" thickBot="1">
      <c r="A11" s="141">
        <v>5</v>
      </c>
      <c r="B11" s="143" t="s">
        <v>611</v>
      </c>
      <c r="C11" s="30" t="s">
        <v>271</v>
      </c>
      <c r="D11" s="31">
        <v>7200</v>
      </c>
      <c r="E11" s="31">
        <v>704</v>
      </c>
      <c r="F11" s="31">
        <v>704</v>
      </c>
      <c r="G11" s="31">
        <v>7944</v>
      </c>
      <c r="H11" s="31">
        <v>0</v>
      </c>
    </row>
    <row r="12" spans="1:8">
      <c r="A12" s="141">
        <v>6</v>
      </c>
      <c r="B12" s="144" t="s">
        <v>84</v>
      </c>
      <c r="C12" s="30" t="s">
        <v>271</v>
      </c>
      <c r="D12" s="144">
        <f>IF(D11="nd","nd",IF(AND(D7="nd",OR(D8="nd",D9="nd",D10="nd")),"nd",IF(SUM(D8:D10)&gt;0,SUM(D7:D10),SUM(D7,D11))))</f>
        <v>22729</v>
      </c>
      <c r="E12" s="144">
        <f>IF(E11="nd","nd",IF(AND(E7="nd",OR(E8="nd",E9="nd",E10="nd")),"nd",IF(SUM(E8:E10)&gt;0,SUM(E7:E10),SUM(E7,E11))))</f>
        <v>15629</v>
      </c>
      <c r="F12" s="144">
        <f>IF(F11="nd","nd",IF(AND(F7="nd",OR(F8="nd",F9="nd",F10="nd")),"nd",IF(SUM(F8:F10)&gt;0,SUM(F7:F10),SUM(F7,F11))))</f>
        <v>16003</v>
      </c>
      <c r="G12" s="144">
        <f>IF(G11="nd","nd",IF(AND(G7="nd",OR(G8="nd",G9="nd",G10="nd")),"nd",IF(SUM(G8:G10)&gt;0,SUM(G7:G10),SUM(G7,G11))))</f>
        <v>23580</v>
      </c>
      <c r="H12" s="144">
        <f>IF(H11="nd","nd",IF(AND(H7="nd",OR(H8="nd",H9="nd",H10="nd")),"nd",IF(SUM(H8:H10)&gt;0,SUM(H7:H10),SUM(H7,H11))))</f>
        <v>25899</v>
      </c>
    </row>
    <row r="14" spans="1:8" ht="19.5" thickBot="1">
      <c r="A14" s="114"/>
      <c r="B14" s="145" t="s">
        <v>85</v>
      </c>
      <c r="C14" s="107"/>
      <c r="D14" s="146">
        <f>IF(D27=0,IF(OR(D53="nd",D23="nd"),"nd",(D53*100/D23)),IF(OR(D27="nd",D23="nd"),"nd",(D27*100/D23)))</f>
        <v>2.9411764705882355</v>
      </c>
      <c r="E14" s="146">
        <f>IF(E27=0,IF(OR(E53="nd",E23="nd"),"nd",(E53*100/E23)),IF(OR(E27="nd",E23="nd"),"nd",(E27*100/E23)))</f>
        <v>95.222222222222229</v>
      </c>
      <c r="F14" s="146">
        <f>IF(F27=0,IF(OR(F53="nd",F23="nd"),"nd",(F53*100/F23)),IF(OR(F27="nd",F23="nd"),"nd",(F27*100/F23)))</f>
        <v>95.222222222222229</v>
      </c>
      <c r="G14" s="146">
        <f>IF(G27=0,IF(OR(G53="nd",G23="nd"),"nd",(G53*100/G23)),IF(OR(G27="nd",G23="nd"),"nd",(G27*100/G23)))</f>
        <v>94.736842105263165</v>
      </c>
      <c r="H14" s="146">
        <f>IF(H27=0,IF(OR(H53="nd",H23="nd"),"nd",(H53*100/H23)),IF(OR(H27="nd",H23="nd"),"nd",(H27*100/H23)))</f>
        <v>94.736842105263165</v>
      </c>
    </row>
    <row r="15" spans="1:8">
      <c r="A15" s="147"/>
      <c r="B15" s="61" t="s">
        <v>612</v>
      </c>
      <c r="C15" s="61" t="s">
        <v>258</v>
      </c>
      <c r="D15" s="271" t="str">
        <f>'General Info'!D4</f>
        <v>FY 2008-2009</v>
      </c>
      <c r="E15" s="271" t="str">
        <f>'General Info'!E4</f>
        <v>FY 2009-2010</v>
      </c>
      <c r="F15" s="271" t="str">
        <f>'General Info'!F4</f>
        <v>FY 2010-2011</v>
      </c>
      <c r="G15" s="271" t="str">
        <f>'General Info'!G4</f>
        <v>FY 2011-2012</v>
      </c>
      <c r="H15" s="271" t="str">
        <f>'General Info'!H4</f>
        <v>FY 2012-2013</v>
      </c>
    </row>
    <row r="16" spans="1:8" ht="15.75" thickBot="1">
      <c r="A16" s="148">
        <v>7</v>
      </c>
      <c r="B16" s="110" t="s">
        <v>613</v>
      </c>
      <c r="C16" s="30" t="s">
        <v>253</v>
      </c>
      <c r="D16" s="111"/>
      <c r="E16" s="33">
        <v>0</v>
      </c>
      <c r="F16" s="33">
        <v>0</v>
      </c>
      <c r="G16" s="33">
        <v>0</v>
      </c>
      <c r="H16" s="33">
        <v>0</v>
      </c>
    </row>
    <row r="17" spans="1:9" ht="15.75" thickBot="1">
      <c r="A17" s="148">
        <v>8</v>
      </c>
      <c r="B17" s="110" t="s">
        <v>614</v>
      </c>
      <c r="C17" s="30" t="s">
        <v>253</v>
      </c>
      <c r="D17" s="111"/>
      <c r="E17" s="33">
        <v>0</v>
      </c>
      <c r="F17" s="33">
        <v>0</v>
      </c>
      <c r="G17" s="33">
        <v>0</v>
      </c>
      <c r="H17" s="33">
        <v>0</v>
      </c>
    </row>
    <row r="18" spans="1:9" ht="15.75" thickBot="1">
      <c r="A18" s="148">
        <v>9</v>
      </c>
      <c r="B18" s="110" t="s">
        <v>615</v>
      </c>
      <c r="C18" s="30" t="s">
        <v>253</v>
      </c>
      <c r="D18" s="111"/>
      <c r="E18" s="33">
        <v>0</v>
      </c>
      <c r="F18" s="33">
        <v>0</v>
      </c>
      <c r="G18" s="33">
        <v>0</v>
      </c>
      <c r="H18" s="33">
        <v>0</v>
      </c>
    </row>
    <row r="19" spans="1:9" ht="15.75" thickBot="1">
      <c r="A19" s="148">
        <v>10</v>
      </c>
      <c r="B19" s="110" t="s">
        <v>616</v>
      </c>
      <c r="C19" s="30" t="s">
        <v>253</v>
      </c>
      <c r="D19" s="111"/>
      <c r="E19" s="33">
        <v>0</v>
      </c>
      <c r="F19" s="33">
        <v>0</v>
      </c>
      <c r="G19" s="33">
        <v>0</v>
      </c>
      <c r="H19" s="33">
        <v>0</v>
      </c>
    </row>
    <row r="20" spans="1:9" ht="15.75" thickBot="1">
      <c r="A20" s="148">
        <v>11</v>
      </c>
      <c r="B20" s="110" t="s">
        <v>617</v>
      </c>
      <c r="C20" s="30" t="s">
        <v>253</v>
      </c>
      <c r="D20" s="111"/>
      <c r="E20" s="33">
        <v>0</v>
      </c>
      <c r="F20" s="33">
        <v>0</v>
      </c>
      <c r="G20" s="33">
        <v>0</v>
      </c>
      <c r="H20" s="33">
        <v>0</v>
      </c>
    </row>
    <row r="21" spans="1:9" ht="15.75" thickBot="1">
      <c r="A21" s="148">
        <v>12</v>
      </c>
      <c r="B21" s="110" t="s">
        <v>618</v>
      </c>
      <c r="C21" s="30" t="s">
        <v>253</v>
      </c>
      <c r="D21" s="111"/>
      <c r="E21" s="33">
        <v>0</v>
      </c>
      <c r="F21" s="33">
        <v>0</v>
      </c>
      <c r="G21" s="33">
        <v>0</v>
      </c>
      <c r="H21" s="33">
        <v>0</v>
      </c>
    </row>
    <row r="22" spans="1:9" ht="15.75" thickBot="1">
      <c r="A22" s="148">
        <v>13</v>
      </c>
      <c r="B22" s="110" t="s">
        <v>619</v>
      </c>
      <c r="C22" s="30" t="s">
        <v>253</v>
      </c>
      <c r="D22" s="33">
        <v>510</v>
      </c>
      <c r="E22" s="33">
        <v>450</v>
      </c>
      <c r="F22" s="33">
        <v>450</v>
      </c>
      <c r="G22" s="33">
        <v>570</v>
      </c>
      <c r="H22" s="33">
        <v>570</v>
      </c>
    </row>
    <row r="23" spans="1:9">
      <c r="A23" s="148">
        <v>14</v>
      </c>
      <c r="B23" s="149" t="s">
        <v>620</v>
      </c>
      <c r="C23" s="30" t="s">
        <v>253</v>
      </c>
      <c r="D23" s="149">
        <f>IF(D22="nd","nd",IF(OR(D16="nd",D17="nd",D18="nd",D19="nd",D20="nd",D21="nd"),"nd",IF(SUM(D16:D21)&gt;0,SUM(D16:D21),D22)))</f>
        <v>510</v>
      </c>
      <c r="E23" s="149">
        <f>IF(E22="nd","nd",IF(OR(E16="nd",E17="nd",E18="nd",E19="nd",E20="nd",E21="nd"),"nd",IF(SUM(E16:E21)&gt;0,SUM(E16:E21),E22)))</f>
        <v>450</v>
      </c>
      <c r="F23" s="149">
        <f>IF(F22="nd","nd",IF(OR(F16="nd",F17="nd",F18="nd",F19="nd",F20="nd",F21="nd"),"nd",IF(SUM(F16:F21)&gt;0,SUM(F16:F21),F22)))</f>
        <v>450</v>
      </c>
      <c r="G23" s="149">
        <f>IF(G22="nd","nd",IF(OR(G16="nd",G17="nd",G18="nd",G19="nd",G20="nd",G21="nd"),"nd",IF(SUM(G16:G21)&gt;0,SUM(G16:G21),G22)))</f>
        <v>570</v>
      </c>
      <c r="H23" s="149">
        <f>IF(H22="nd","nd",IF(OR(H16="nd",H17="nd",H18="nd",H19="nd",H20="nd",H21="nd"),"nd",IF(SUM(H16:H21)&gt;0,SUM(H16:H21),H22)))</f>
        <v>570</v>
      </c>
      <c r="I23" s="273">
        <f>H23*(1+((H23-G23)/G23))</f>
        <v>570</v>
      </c>
    </row>
    <row r="24" spans="1:9">
      <c r="A24" s="140"/>
      <c r="B24" s="140" t="s">
        <v>621</v>
      </c>
      <c r="C24" s="140"/>
      <c r="D24" s="108"/>
      <c r="E24" s="108"/>
      <c r="F24" s="108"/>
      <c r="G24" s="108"/>
      <c r="H24" s="108"/>
      <c r="I24" s="300">
        <f>(I23*10^6/30)/('General Info'!K12+'General Info'!K25)</f>
        <v>710.91820698944844</v>
      </c>
    </row>
    <row r="25" spans="1:9" ht="15.75" thickBot="1">
      <c r="A25" s="141">
        <v>15</v>
      </c>
      <c r="B25" s="110" t="s">
        <v>622</v>
      </c>
      <c r="C25" s="30" t="s">
        <v>253</v>
      </c>
      <c r="D25" s="111"/>
      <c r="E25" s="33">
        <v>428</v>
      </c>
      <c r="F25" s="33">
        <v>428</v>
      </c>
      <c r="G25" s="33">
        <v>0</v>
      </c>
      <c r="H25" s="33">
        <v>300</v>
      </c>
    </row>
    <row r="26" spans="1:9" ht="15.75" thickBot="1">
      <c r="A26" s="141">
        <v>16</v>
      </c>
      <c r="B26" s="110" t="s">
        <v>623</v>
      </c>
      <c r="C26" s="30" t="s">
        <v>253</v>
      </c>
      <c r="D26" s="111"/>
      <c r="E26" s="33">
        <v>0</v>
      </c>
      <c r="F26" s="33">
        <v>0</v>
      </c>
      <c r="G26" s="33">
        <v>540</v>
      </c>
      <c r="H26" s="33">
        <v>390</v>
      </c>
    </row>
    <row r="27" spans="1:9">
      <c r="A27" s="141">
        <v>17</v>
      </c>
      <c r="B27" s="144" t="s">
        <v>86</v>
      </c>
      <c r="C27" s="30" t="s">
        <v>253</v>
      </c>
      <c r="D27" s="144">
        <f>D25+D26+D58-D75</f>
        <v>15</v>
      </c>
      <c r="E27" s="144">
        <f>IF(OR(E25="nd",E26="nd",E58="nd",E75="nd"),"nd",IF(E75="na",SUM(E25,E26,E58),SUM(E25,E26,E58)-E75))</f>
        <v>428.5</v>
      </c>
      <c r="F27" s="144">
        <f>IF(OR(F25="nd",F26="nd",F58="nd",F75="nd"),"nd",IF(F75="na",SUM(F25,F26,F58),SUM(F25,F26,F58)-F75))</f>
        <v>428.5</v>
      </c>
      <c r="G27" s="144">
        <f>IF(OR(G25="nd",G26="nd",G58="nd",G75="nd"),"nd",IF(G75="na",SUM(G25,G26,G58),SUM(G25,G26,G58)-G75))</f>
        <v>540</v>
      </c>
      <c r="H27" s="144">
        <f>IF(OR(H25="nd",H26="nd",H58="nd",H75="nd"),"nd",IF(H75="na",SUM(H25,H26,H58),SUM(H25,H26,H58)-H75))</f>
        <v>540</v>
      </c>
    </row>
    <row r="28" spans="1:9">
      <c r="A28" s="150"/>
      <c r="B28" s="150" t="s">
        <v>624</v>
      </c>
      <c r="C28" s="150"/>
      <c r="D28" s="117"/>
      <c r="E28" s="117"/>
      <c r="F28" s="117"/>
      <c r="G28" s="117"/>
      <c r="H28" s="117"/>
    </row>
    <row r="29" spans="1:9" ht="15.75" thickBot="1">
      <c r="A29" s="141">
        <v>18</v>
      </c>
      <c r="B29" s="110" t="s">
        <v>625</v>
      </c>
      <c r="C29" s="30" t="s">
        <v>271</v>
      </c>
      <c r="D29" s="31">
        <v>0</v>
      </c>
      <c r="E29" s="31">
        <v>0</v>
      </c>
      <c r="F29" s="31">
        <v>0</v>
      </c>
      <c r="G29" s="31">
        <v>0</v>
      </c>
      <c r="H29" s="31">
        <v>0</v>
      </c>
    </row>
    <row r="30" spans="1:9" ht="15.75" thickBot="1">
      <c r="A30" s="141">
        <v>19</v>
      </c>
      <c r="B30" s="110" t="s">
        <v>626</v>
      </c>
      <c r="C30" s="30" t="s">
        <v>627</v>
      </c>
      <c r="D30" s="33">
        <v>0</v>
      </c>
      <c r="E30" s="33">
        <v>0</v>
      </c>
      <c r="F30" s="33">
        <v>0</v>
      </c>
      <c r="G30" s="33">
        <v>0</v>
      </c>
      <c r="H30" s="33">
        <v>0</v>
      </c>
    </row>
    <row r="31" spans="1:9" ht="15.75" thickBot="1">
      <c r="A31" s="141">
        <v>20</v>
      </c>
      <c r="B31" s="110" t="s">
        <v>628</v>
      </c>
      <c r="C31" s="30" t="s">
        <v>629</v>
      </c>
      <c r="D31" s="33">
        <v>0</v>
      </c>
      <c r="E31" s="33">
        <v>0</v>
      </c>
      <c r="F31" s="33">
        <v>0</v>
      </c>
      <c r="G31" s="33">
        <v>0</v>
      </c>
      <c r="H31" s="33">
        <v>0</v>
      </c>
    </row>
    <row r="32" spans="1:9">
      <c r="A32" s="141">
        <v>21</v>
      </c>
      <c r="B32" s="151" t="s">
        <v>630</v>
      </c>
      <c r="C32" s="30" t="s">
        <v>253</v>
      </c>
      <c r="D32" s="151">
        <f>IF(OR(D29="na",D30="na",D31="na"),0,IF(OR(D29="nd",D30="nd",D31="nd"),"nd",D29*D30*D31*30))</f>
        <v>0</v>
      </c>
      <c r="E32" s="151">
        <f>IF(OR(E29="na",E30="na",E31="na"),0,IF(OR(E29="nd",E30="nd",E31="nd"),"nd",E29*E30*E31*30))</f>
        <v>0</v>
      </c>
      <c r="F32" s="151">
        <f>IF(OR(F29="na",F30="na",F31="na"),0,IF(OR(F29="nd",F30="nd",F31="nd"),"nd",F29*F30*F31*30))</f>
        <v>0</v>
      </c>
      <c r="G32" s="151">
        <f>IF(OR(G29="na",G30="na",G31="na"),0,IF(OR(G29="nd",G30="nd",G31="nd"),"nd",G29*G30*G31*30))</f>
        <v>0</v>
      </c>
      <c r="H32" s="151">
        <f>IF(OR(H29="na",H30="na",H31="na"),0,IF(OR(H29="nd",H30="nd",H31="nd"),"nd",H29*H30*H31*30))</f>
        <v>0</v>
      </c>
    </row>
    <row r="33" spans="1:8" ht="15.75" thickBot="1">
      <c r="A33" s="141">
        <v>22</v>
      </c>
      <c r="B33" s="110" t="s">
        <v>631</v>
      </c>
      <c r="C33" s="30" t="s">
        <v>271</v>
      </c>
      <c r="D33" s="31">
        <v>0</v>
      </c>
      <c r="E33" s="31">
        <v>3</v>
      </c>
      <c r="F33" s="31">
        <v>3</v>
      </c>
      <c r="G33" s="31">
        <v>0</v>
      </c>
      <c r="H33" s="31">
        <v>0</v>
      </c>
    </row>
    <row r="34" spans="1:8" ht="15.75" thickBot="1">
      <c r="A34" s="141">
        <v>23</v>
      </c>
      <c r="B34" s="110" t="s">
        <v>632</v>
      </c>
      <c r="C34" s="30" t="s">
        <v>627</v>
      </c>
      <c r="D34" s="33">
        <v>0</v>
      </c>
      <c r="E34" s="33">
        <v>1</v>
      </c>
      <c r="F34" s="33">
        <v>1</v>
      </c>
      <c r="G34" s="33">
        <v>0</v>
      </c>
      <c r="H34" s="33">
        <v>0</v>
      </c>
    </row>
    <row r="35" spans="1:8" ht="15.75" thickBot="1">
      <c r="A35" s="141">
        <v>24</v>
      </c>
      <c r="B35" s="110" t="s">
        <v>633</v>
      </c>
      <c r="C35" s="30" t="s">
        <v>629</v>
      </c>
      <c r="D35" s="33">
        <v>0</v>
      </c>
      <c r="E35" s="33">
        <v>4</v>
      </c>
      <c r="F35" s="33">
        <v>4</v>
      </c>
      <c r="G35" s="33">
        <v>0</v>
      </c>
      <c r="H35" s="33">
        <v>0</v>
      </c>
    </row>
    <row r="36" spans="1:8">
      <c r="A36" s="141">
        <v>25</v>
      </c>
      <c r="B36" s="151" t="s">
        <v>634</v>
      </c>
      <c r="C36" s="30" t="s">
        <v>253</v>
      </c>
      <c r="D36" s="151">
        <f>IF(OR(D33="na",D34="na",D35="na"),0,IF(OR(D33="nd",D34="nd",D35="nd"),"nd",D33*D34*D35*30))</f>
        <v>0</v>
      </c>
      <c r="E36" s="151">
        <f>IF(OR(E33="na",E34="na",E35="na"),0,IF(OR(E33="nd",E34="nd",E35="nd"),"nd",E33*E34*E35*30))</f>
        <v>360</v>
      </c>
      <c r="F36" s="151">
        <f>IF(OR(F33="na",F34="na",F35="na"),0,IF(OR(F33="nd",F34="nd",F35="nd"),"nd",F33*F34*F35*30))</f>
        <v>360</v>
      </c>
      <c r="G36" s="151">
        <f>IF(OR(G33="na",G34="na",G35="na"),0,IF(OR(G33="nd",G34="nd",G35="nd"),"nd",G33*G34*G35*30))</f>
        <v>0</v>
      </c>
      <c r="H36" s="151">
        <f>IF(OR(H33="na",H34="na",H35="na"),0,IF(OR(H33="nd",H34="nd",H35="nd"),"nd",H33*H34*H35*30))</f>
        <v>0</v>
      </c>
    </row>
    <row r="37" spans="1:8" ht="15.75" thickBot="1">
      <c r="A37" s="141">
        <v>26</v>
      </c>
      <c r="B37" s="110" t="s">
        <v>635</v>
      </c>
      <c r="C37" s="30" t="s">
        <v>271</v>
      </c>
      <c r="D37" s="142"/>
      <c r="E37" s="31">
        <v>0</v>
      </c>
      <c r="F37" s="31">
        <v>0</v>
      </c>
      <c r="G37" s="31">
        <v>0</v>
      </c>
      <c r="H37" s="31">
        <v>0</v>
      </c>
    </row>
    <row r="38" spans="1:8" ht="15.75" thickBot="1">
      <c r="A38" s="141">
        <v>27</v>
      </c>
      <c r="B38" s="110" t="s">
        <v>636</v>
      </c>
      <c r="C38" s="30" t="s">
        <v>627</v>
      </c>
      <c r="D38" s="142"/>
      <c r="E38" s="33">
        <v>0</v>
      </c>
      <c r="F38" s="33">
        <v>0</v>
      </c>
      <c r="G38" s="33">
        <v>0</v>
      </c>
      <c r="H38" s="33">
        <v>0</v>
      </c>
    </row>
    <row r="39" spans="1:8" ht="15.75" thickBot="1">
      <c r="A39" s="141">
        <v>28</v>
      </c>
      <c r="B39" s="110" t="s">
        <v>637</v>
      </c>
      <c r="C39" s="30" t="s">
        <v>629</v>
      </c>
      <c r="D39" s="142"/>
      <c r="E39" s="33">
        <v>0</v>
      </c>
      <c r="F39" s="33">
        <v>0</v>
      </c>
      <c r="G39" s="33">
        <v>0</v>
      </c>
      <c r="H39" s="33">
        <v>0</v>
      </c>
    </row>
    <row r="40" spans="1:8">
      <c r="A40" s="141">
        <v>29</v>
      </c>
      <c r="B40" s="151" t="s">
        <v>638</v>
      </c>
      <c r="C40" s="30" t="s">
        <v>253</v>
      </c>
      <c r="D40" s="151">
        <f>IF(OR(D37="na",D38="na",D39="na"),0,IF(OR(D37="nd",D38="nd",D39="nd"),"nd",D37*D38*D39*30))</f>
        <v>0</v>
      </c>
      <c r="E40" s="151">
        <f>IF(OR(E37="na",E38="na",E39="na"),0,IF(OR(E37="nd",E38="nd",E39="nd"),"nd",E37*E38*E39*30))</f>
        <v>0</v>
      </c>
      <c r="F40" s="151">
        <f>IF(OR(F37="na",F38="na",F39="na"),0,IF(OR(F37="nd",F38="nd",F39="nd"),"nd",F37*F38*F39*30))</f>
        <v>0</v>
      </c>
      <c r="G40" s="151">
        <f>IF(OR(G37="na",G38="na",G39="na"),0,IF(OR(G37="nd",G38="nd",G39="nd"),"nd",G37*G38*G39*30))</f>
        <v>0</v>
      </c>
      <c r="H40" s="151">
        <f>IF(OR(H37="na",H38="na",H39="na"),0,IF(OR(H37="nd",H38="nd",H39="nd"),"nd",H37*H38*H39*30))</f>
        <v>0</v>
      </c>
    </row>
    <row r="41" spans="1:8" ht="15.75" thickBot="1">
      <c r="A41" s="141">
        <v>30</v>
      </c>
      <c r="B41" s="110" t="s">
        <v>639</v>
      </c>
      <c r="C41" s="30" t="s">
        <v>271</v>
      </c>
      <c r="D41" s="31">
        <v>3</v>
      </c>
      <c r="E41" s="31">
        <v>1</v>
      </c>
      <c r="F41" s="31">
        <v>1</v>
      </c>
      <c r="G41" s="31">
        <v>4</v>
      </c>
      <c r="H41" s="31">
        <v>3</v>
      </c>
    </row>
    <row r="42" spans="1:8" ht="15.75" thickBot="1">
      <c r="A42" s="141">
        <v>31</v>
      </c>
      <c r="B42" s="110" t="s">
        <v>640</v>
      </c>
      <c r="C42" s="30" t="s">
        <v>627</v>
      </c>
      <c r="D42" s="33">
        <v>1.5</v>
      </c>
      <c r="E42" s="33">
        <v>0.75</v>
      </c>
      <c r="F42" s="33">
        <v>0.75</v>
      </c>
      <c r="G42" s="33">
        <v>0.5</v>
      </c>
      <c r="H42" s="33">
        <v>1</v>
      </c>
    </row>
    <row r="43" spans="1:8" ht="15.75" thickBot="1">
      <c r="A43" s="141">
        <v>32</v>
      </c>
      <c r="B43" s="110" t="s">
        <v>641</v>
      </c>
      <c r="C43" s="30" t="s">
        <v>629</v>
      </c>
      <c r="D43" s="33">
        <v>11</v>
      </c>
      <c r="E43" s="33">
        <v>3</v>
      </c>
      <c r="F43" s="33">
        <v>3</v>
      </c>
      <c r="G43" s="33">
        <v>9</v>
      </c>
      <c r="H43" s="33">
        <v>4</v>
      </c>
    </row>
    <row r="44" spans="1:8">
      <c r="A44" s="141">
        <v>33</v>
      </c>
      <c r="B44" s="151" t="s">
        <v>642</v>
      </c>
      <c r="C44" s="30" t="s">
        <v>253</v>
      </c>
      <c r="D44" s="151">
        <f>IF(OR(D41="na",D42="na",D43="na"),0,IF(OR(D41="nd",D42="nd",D43="nd"),"nd",D41*D42*D43*30))</f>
        <v>1485</v>
      </c>
      <c r="E44" s="151">
        <f>IF(OR(E41="na",E42="na",E43="na"),0,IF(OR(E41="nd",E42="nd",E43="nd"),"nd",E41*E42*E43*30))</f>
        <v>67.5</v>
      </c>
      <c r="F44" s="151">
        <f>IF(OR(F41="na",F42="na",F43="na"),0,IF(OR(F41="nd",F42="nd",F43="nd"),"nd",F41*F42*F43*30))</f>
        <v>67.5</v>
      </c>
      <c r="G44" s="151">
        <f>IF(OR(G41="na",G42="na",G43="na"),0,IF(OR(G41="nd",G42="nd",G43="nd"),"nd",G41*G42*G43*30))</f>
        <v>540</v>
      </c>
      <c r="H44" s="151">
        <f>IF(OR(H41="na",H42="na",H43="na"),0,IF(OR(H41="nd",H42="nd",H43="nd"),"nd",H41*H42*H43*30))</f>
        <v>360</v>
      </c>
    </row>
    <row r="45" spans="1:8" ht="15.75" thickBot="1">
      <c r="A45" s="141">
        <v>34</v>
      </c>
      <c r="B45" s="110" t="s">
        <v>643</v>
      </c>
      <c r="C45" s="30" t="s">
        <v>271</v>
      </c>
      <c r="D45" s="31">
        <v>0</v>
      </c>
      <c r="E45" s="31">
        <v>0</v>
      </c>
      <c r="F45" s="31">
        <v>0</v>
      </c>
      <c r="G45" s="31">
        <v>0</v>
      </c>
      <c r="H45" s="31">
        <v>6</v>
      </c>
    </row>
    <row r="46" spans="1:8" ht="15.75" thickBot="1">
      <c r="A46" s="141">
        <v>35</v>
      </c>
      <c r="B46" s="110" t="s">
        <v>644</v>
      </c>
      <c r="C46" s="30" t="s">
        <v>627</v>
      </c>
      <c r="D46" s="33">
        <v>0</v>
      </c>
      <c r="E46" s="33">
        <v>0</v>
      </c>
      <c r="F46" s="33">
        <v>0</v>
      </c>
      <c r="G46" s="33">
        <v>0</v>
      </c>
      <c r="H46" s="33">
        <v>0.5</v>
      </c>
    </row>
    <row r="47" spans="1:8" ht="15.75" thickBot="1">
      <c r="A47" s="141">
        <v>36</v>
      </c>
      <c r="B47" s="110" t="s">
        <v>645</v>
      </c>
      <c r="C47" s="30" t="s">
        <v>629</v>
      </c>
      <c r="D47" s="33">
        <v>0</v>
      </c>
      <c r="E47" s="33">
        <v>0</v>
      </c>
      <c r="F47" s="33">
        <v>0</v>
      </c>
      <c r="G47" s="33">
        <v>0</v>
      </c>
      <c r="H47" s="33">
        <v>2</v>
      </c>
    </row>
    <row r="48" spans="1:8">
      <c r="A48" s="141">
        <v>37</v>
      </c>
      <c r="B48" s="151" t="s">
        <v>646</v>
      </c>
      <c r="C48" s="30" t="s">
        <v>253</v>
      </c>
      <c r="D48" s="151">
        <f>IF(OR(D45="na",D46="na",D47="na"),0,IF(OR(D45="nd",D46="nd",D47="nd"),"nd",D45*D46*D47*30))</f>
        <v>0</v>
      </c>
      <c r="E48" s="151">
        <f>IF(OR(E45="na",E46="na",E47="na"),0,IF(OR(E45="nd",E46="nd",E47="nd"),"nd",E45*E46*E47*30))</f>
        <v>0</v>
      </c>
      <c r="F48" s="151">
        <f>IF(OR(F45="na",F46="na",F47="na"),0,IF(OR(F45="nd",F46="nd",F47="nd"),"nd",F45*F46*F47*30))</f>
        <v>0</v>
      </c>
      <c r="G48" s="151">
        <f>IF(OR(G45="na",G46="na",G47="na"),0,IF(OR(G45="nd",G46="nd",G47="nd"),"nd",G45*G46*G47*30))</f>
        <v>0</v>
      </c>
      <c r="H48" s="151">
        <f>IF(OR(H45="na",H46="na",H47="na"),0,IF(OR(H45="nd",H46="nd",H47="nd"),"nd",H45*H46*H47*30))</f>
        <v>180</v>
      </c>
    </row>
    <row r="49" spans="1:8" ht="15.75" thickBot="1">
      <c r="A49" s="141">
        <v>38</v>
      </c>
      <c r="B49" s="110" t="s">
        <v>647</v>
      </c>
      <c r="C49" s="30" t="s">
        <v>271</v>
      </c>
      <c r="D49" s="31">
        <v>0</v>
      </c>
      <c r="E49" s="31">
        <v>0</v>
      </c>
      <c r="F49" s="31">
        <v>0</v>
      </c>
      <c r="G49" s="31">
        <v>0</v>
      </c>
      <c r="H49" s="31">
        <v>0</v>
      </c>
    </row>
    <row r="50" spans="1:8" ht="15.75" thickBot="1">
      <c r="A50" s="141">
        <v>39</v>
      </c>
      <c r="B50" s="110" t="s">
        <v>648</v>
      </c>
      <c r="C50" s="30" t="s">
        <v>627</v>
      </c>
      <c r="D50" s="33">
        <v>0</v>
      </c>
      <c r="E50" s="33">
        <v>0</v>
      </c>
      <c r="F50" s="33">
        <v>0</v>
      </c>
      <c r="G50" s="33">
        <v>0</v>
      </c>
      <c r="H50" s="33">
        <v>0</v>
      </c>
    </row>
    <row r="51" spans="1:8" ht="15.75" thickBot="1">
      <c r="A51" s="141">
        <v>40</v>
      </c>
      <c r="B51" s="110" t="s">
        <v>649</v>
      </c>
      <c r="C51" s="30" t="s">
        <v>629</v>
      </c>
      <c r="D51" s="33">
        <v>0</v>
      </c>
      <c r="E51" s="33">
        <v>0</v>
      </c>
      <c r="F51" s="33">
        <v>0</v>
      </c>
      <c r="G51" s="33">
        <v>0</v>
      </c>
      <c r="H51" s="33">
        <v>0</v>
      </c>
    </row>
    <row r="52" spans="1:8">
      <c r="A52" s="141">
        <v>41</v>
      </c>
      <c r="B52" s="151" t="s">
        <v>650</v>
      </c>
      <c r="C52" s="30" t="s">
        <v>253</v>
      </c>
      <c r="D52" s="151">
        <f>IF(OR(D49="na",D50="na",D51="na"),0,IF(OR(D49="nd",D50="nd",D51="nd"),"nd",D49*D50*D51*30))</f>
        <v>0</v>
      </c>
      <c r="E52" s="151">
        <f>IF(OR(E49="na",E50="na",E51="na"),0,IF(OR(E49="nd",E50="nd",E51="nd"),"nd",E49*E50*E51*30))</f>
        <v>0</v>
      </c>
      <c r="F52" s="151">
        <f>IF(OR(F49="na",F50="na",F51="na"),0,IF(OR(F49="nd",F50="nd",F51="nd"),"nd",F49*F50*F51*30))</f>
        <v>0</v>
      </c>
      <c r="G52" s="151">
        <f>IF(OR(G49="na",G50="na",G51="na"),0,IF(OR(G49="nd",G50="nd",G51="nd"),"nd",G49*G50*G51*30))</f>
        <v>0</v>
      </c>
      <c r="H52" s="151">
        <f>IF(OR(H49="na",H50="na",H51="na"),0,IF(OR(H49="nd",H50="nd",H51="nd"),"nd",H49*H50*H51*30))</f>
        <v>0</v>
      </c>
    </row>
    <row r="53" spans="1:8">
      <c r="A53" s="141">
        <v>42</v>
      </c>
      <c r="B53" s="144" t="s">
        <v>651</v>
      </c>
      <c r="C53" s="30" t="s">
        <v>253</v>
      </c>
      <c r="D53" s="144">
        <f>IF(OR(D32="nd",D36="nd",D40="nd",D44="nd",D48="nd",D52="nd"),"nd",SUM(D32,D36,D40,D44,D48,D52))</f>
        <v>1485</v>
      </c>
      <c r="E53" s="144">
        <f>IF(OR(E32="nd",E36="nd",E40="nd",E44="nd",E48="nd",E52="nd"),"nd",SUM(E32,E36,E40,E44,E48,E52))</f>
        <v>427.5</v>
      </c>
      <c r="F53" s="144">
        <f>IF(OR(F32="nd",F36="nd",F40="nd",F44="nd",F48="nd",F52="nd"),"nd",SUM(F32,F36,F40,F44,F48,F52))</f>
        <v>427.5</v>
      </c>
      <c r="G53" s="144">
        <f>IF(OR(G32="nd",G36="nd",G40="nd",G44="nd",G48="nd",G52="nd"),"nd",SUM(G32,G36,G40,G44,G48,G52))</f>
        <v>540</v>
      </c>
      <c r="H53" s="144">
        <f>IF(OR(H32="nd",H36="nd",H40="nd",H44="nd",H48="nd",H52="nd"),"nd",SUM(H32,H36,H40,H44,H48,H52))</f>
        <v>540</v>
      </c>
    </row>
    <row r="55" spans="1:8" ht="19.5" thickBot="1">
      <c r="A55" s="114"/>
      <c r="B55" s="72" t="s">
        <v>87</v>
      </c>
      <c r="C55" s="107"/>
      <c r="D55" s="146">
        <f>((D57+D58)/IF(D81=0,D53,D81))*100</f>
        <v>3.3333333333333335</v>
      </c>
      <c r="E55" s="146">
        <f>IF(E57="na","na",IF(OR(E57="nd",E58="nd"),"nd",IF(OR(E81="nd",E81=0),IF(E53="nd","nd",SUM(E57,E58)/E53*100),SUM(E57,E58)/E81*100)))</f>
        <v>0.11682242990654204</v>
      </c>
      <c r="F55" s="146">
        <f>IF(F57="na","na",IF(OR(F57="nd",F58="nd"),"nd",IF(OR(F81="nd",F81=0),IF(F53="nd","nd",SUM(F57,F58)/F53*100),SUM(F57,F58)/F81*100)))</f>
        <v>0.11682242990654204</v>
      </c>
      <c r="G55" s="72">
        <f>IF(G57="na","na",IF(OR(G57="nd",G58="nd"),"nd",IF(OR(G81="nd",G81=0),IF(G53="nd","nd",SUM(G57,G58)/G53*100),SUM(G57,G58)/G81*100)))</f>
        <v>0</v>
      </c>
      <c r="H55" s="72">
        <f>IF(H57="na","na",IF(OR(H57="nd",H58="nd"),"nd",IF(OR(H81="nd",H81=0),IF(H53="nd","nd",SUM(H57,H58)/H53*100),SUM(H57,H58)/H81*100)))</f>
        <v>0</v>
      </c>
    </row>
    <row r="56" spans="1:8">
      <c r="A56" s="140"/>
      <c r="B56" s="61" t="s">
        <v>652</v>
      </c>
      <c r="C56" s="61" t="s">
        <v>258</v>
      </c>
      <c r="D56" s="271" t="str">
        <f>'General Info'!D4</f>
        <v>FY 2008-2009</v>
      </c>
      <c r="E56" s="271" t="str">
        <f>'General Info'!E4</f>
        <v>FY 2009-2010</v>
      </c>
      <c r="F56" s="271" t="str">
        <f>'General Info'!F4</f>
        <v>FY 2010-2011</v>
      </c>
      <c r="G56" s="271" t="str">
        <f>'General Info'!G4</f>
        <v>FY 2011-2012</v>
      </c>
      <c r="H56" s="271" t="str">
        <f>'General Info'!H4</f>
        <v>FY 2012-2013</v>
      </c>
    </row>
    <row r="57" spans="1:8">
      <c r="A57" s="141">
        <v>43</v>
      </c>
      <c r="B57" s="152" t="s">
        <v>88</v>
      </c>
      <c r="C57" s="30" t="s">
        <v>253</v>
      </c>
      <c r="D57" s="33">
        <v>0</v>
      </c>
      <c r="E57" s="33">
        <v>0</v>
      </c>
      <c r="F57" s="33">
        <v>0</v>
      </c>
      <c r="G57" s="33">
        <v>0</v>
      </c>
      <c r="H57" s="33">
        <v>0</v>
      </c>
    </row>
    <row r="58" spans="1:8">
      <c r="A58" s="141">
        <v>44</v>
      </c>
      <c r="B58" s="152" t="s">
        <v>89</v>
      </c>
      <c r="C58" s="30" t="s">
        <v>253</v>
      </c>
      <c r="D58" s="33">
        <v>15</v>
      </c>
      <c r="E58" s="33">
        <v>0.5</v>
      </c>
      <c r="F58" s="33">
        <v>0.5</v>
      </c>
      <c r="G58" s="33">
        <v>0</v>
      </c>
      <c r="H58" s="33">
        <v>0</v>
      </c>
    </row>
    <row r="59" spans="1:8">
      <c r="A59" s="843"/>
      <c r="B59" s="843"/>
      <c r="C59" s="843"/>
      <c r="D59" s="843"/>
      <c r="E59" s="843"/>
      <c r="F59" s="153"/>
      <c r="G59" s="153"/>
      <c r="H59" s="153"/>
    </row>
    <row r="60" spans="1:8">
      <c r="A60" s="114"/>
      <c r="B60" s="72" t="s">
        <v>92</v>
      </c>
      <c r="C60" s="72"/>
      <c r="D60" s="72">
        <f>IF(D76="na","na",IF(D27="nd",IF(D53="nd","nd",D76/D53*100),D76/D27*100))</f>
        <v>100</v>
      </c>
      <c r="E60" s="72">
        <f>IF(E76="na","na",IF(E27="nd",IF(E53="nd","nd",E76/E53*100),E76/E27*100))</f>
        <v>0.11668611435239205</v>
      </c>
      <c r="F60" s="72">
        <f>IF(F76="na","na",IF(F27="nd",IF(F53="nd","nd",F76/F53*100),F76/F27*100))</f>
        <v>0.11668611435239205</v>
      </c>
      <c r="G60" s="72" t="str">
        <f>IF(G76="na","na",IF(G27="nd",IF(G53="nd","nd",G76/G53*100),G76/G27*100))</f>
        <v>na</v>
      </c>
      <c r="H60" s="72">
        <f>IF(H76="na","na",IF(H27="nd",IF(H53="nd","nd",H76/H53*100),H76/H27*100))</f>
        <v>11.111111111111111</v>
      </c>
    </row>
    <row r="61" spans="1:8">
      <c r="A61" s="140"/>
      <c r="B61" s="61" t="s">
        <v>653</v>
      </c>
      <c r="C61" s="61" t="s">
        <v>258</v>
      </c>
      <c r="D61" s="271" t="str">
        <f>'General Info'!D4</f>
        <v>FY 2008-2009</v>
      </c>
      <c r="E61" s="271" t="str">
        <f>'General Info'!E4</f>
        <v>FY 2009-2010</v>
      </c>
      <c r="F61" s="271" t="str">
        <f>'General Info'!F4</f>
        <v>FY 2010-2011</v>
      </c>
      <c r="G61" s="271" t="str">
        <f>'General Info'!G4</f>
        <v>FY 2011-2012</v>
      </c>
      <c r="H61" s="271" t="str">
        <f>'General Info'!H4</f>
        <v>FY 2012-2013</v>
      </c>
    </row>
    <row r="62" spans="1:8" ht="15.75" thickBot="1">
      <c r="A62" s="141">
        <v>45</v>
      </c>
      <c r="B62" s="110" t="s">
        <v>654</v>
      </c>
      <c r="C62" s="30" t="s">
        <v>253</v>
      </c>
      <c r="D62" s="33">
        <v>0</v>
      </c>
      <c r="E62" s="33">
        <v>0</v>
      </c>
      <c r="F62" s="33">
        <v>0</v>
      </c>
      <c r="G62" s="33" t="s">
        <v>251</v>
      </c>
      <c r="H62" s="33">
        <v>300</v>
      </c>
    </row>
    <row r="63" spans="1:8" ht="15.75" thickBot="1">
      <c r="A63" s="141">
        <v>46</v>
      </c>
      <c r="B63" s="110" t="s">
        <v>655</v>
      </c>
      <c r="C63" s="30" t="s">
        <v>253</v>
      </c>
      <c r="D63" s="33">
        <v>0</v>
      </c>
      <c r="E63" s="33">
        <v>0</v>
      </c>
      <c r="F63" s="33">
        <v>0</v>
      </c>
      <c r="G63" s="33" t="s">
        <v>251</v>
      </c>
      <c r="H63" s="33">
        <v>300</v>
      </c>
    </row>
    <row r="64" spans="1:8" ht="15.75" thickBot="1">
      <c r="A64" s="141">
        <v>47</v>
      </c>
      <c r="B64" s="110" t="s">
        <v>656</v>
      </c>
      <c r="C64" s="30" t="s">
        <v>253</v>
      </c>
      <c r="D64" s="33">
        <v>0</v>
      </c>
      <c r="E64" s="33">
        <v>0</v>
      </c>
      <c r="F64" s="33">
        <v>0</v>
      </c>
      <c r="G64" s="33" t="s">
        <v>251</v>
      </c>
      <c r="H64" s="33">
        <v>0</v>
      </c>
    </row>
    <row r="65" spans="1:8" ht="15.75" thickBot="1">
      <c r="A65" s="141">
        <v>48</v>
      </c>
      <c r="B65" s="110" t="s">
        <v>657</v>
      </c>
      <c r="C65" s="30" t="s">
        <v>253</v>
      </c>
      <c r="D65" s="33">
        <v>0</v>
      </c>
      <c r="E65" s="33">
        <v>0</v>
      </c>
      <c r="F65" s="33">
        <v>0</v>
      </c>
      <c r="G65" s="33" t="s">
        <v>251</v>
      </c>
      <c r="H65" s="33">
        <v>0</v>
      </c>
    </row>
    <row r="66" spans="1:8" ht="15.75" thickBot="1">
      <c r="A66" s="141">
        <v>49</v>
      </c>
      <c r="B66" s="110" t="s">
        <v>658</v>
      </c>
      <c r="C66" s="30" t="s">
        <v>253</v>
      </c>
      <c r="D66" s="33">
        <v>0</v>
      </c>
      <c r="E66" s="33">
        <v>0</v>
      </c>
      <c r="F66" s="33">
        <v>0</v>
      </c>
      <c r="G66" s="33" t="s">
        <v>251</v>
      </c>
      <c r="H66" s="33">
        <v>0</v>
      </c>
    </row>
    <row r="67" spans="1:8" ht="15.75" thickBot="1">
      <c r="A67" s="141">
        <v>50</v>
      </c>
      <c r="B67" s="110" t="s">
        <v>659</v>
      </c>
      <c r="C67" s="30" t="s">
        <v>253</v>
      </c>
      <c r="D67" s="33">
        <v>0</v>
      </c>
      <c r="E67" s="33">
        <v>0</v>
      </c>
      <c r="F67" s="33">
        <v>0</v>
      </c>
      <c r="G67" s="33" t="s">
        <v>251</v>
      </c>
      <c r="H67" s="33">
        <v>0</v>
      </c>
    </row>
    <row r="68" spans="1:8" ht="15.75" thickBot="1">
      <c r="A68" s="141">
        <v>51</v>
      </c>
      <c r="B68" s="110" t="s">
        <v>660</v>
      </c>
      <c r="C68" s="30" t="s">
        <v>253</v>
      </c>
      <c r="D68" s="33">
        <v>0</v>
      </c>
      <c r="E68" s="33">
        <v>0</v>
      </c>
      <c r="F68" s="33">
        <v>0</v>
      </c>
      <c r="G68" s="33" t="s">
        <v>251</v>
      </c>
      <c r="H68" s="33">
        <v>0</v>
      </c>
    </row>
    <row r="69" spans="1:8" ht="15.75" thickBot="1">
      <c r="A69" s="141">
        <v>52</v>
      </c>
      <c r="B69" s="110" t="s">
        <v>661</v>
      </c>
      <c r="C69" s="30" t="s">
        <v>253</v>
      </c>
      <c r="D69" s="33">
        <v>0</v>
      </c>
      <c r="E69" s="33">
        <v>0</v>
      </c>
      <c r="F69" s="33">
        <v>0</v>
      </c>
      <c r="G69" s="33" t="s">
        <v>251</v>
      </c>
      <c r="H69" s="33">
        <v>0</v>
      </c>
    </row>
    <row r="70" spans="1:8" ht="15.75" thickBot="1">
      <c r="A70" s="141">
        <v>53</v>
      </c>
      <c r="B70" s="110" t="s">
        <v>662</v>
      </c>
      <c r="C70" s="30" t="s">
        <v>253</v>
      </c>
      <c r="D70" s="33">
        <v>0</v>
      </c>
      <c r="E70" s="33">
        <v>0</v>
      </c>
      <c r="F70" s="33">
        <v>0</v>
      </c>
      <c r="G70" s="33" t="s">
        <v>251</v>
      </c>
      <c r="H70" s="33">
        <v>0</v>
      </c>
    </row>
    <row r="71" spans="1:8" ht="15.75" thickBot="1">
      <c r="A71" s="141">
        <v>54</v>
      </c>
      <c r="B71" s="110" t="s">
        <v>663</v>
      </c>
      <c r="C71" s="30" t="s">
        <v>253</v>
      </c>
      <c r="D71" s="33">
        <v>0</v>
      </c>
      <c r="E71" s="33">
        <v>0</v>
      </c>
      <c r="F71" s="33">
        <v>0</v>
      </c>
      <c r="G71" s="33" t="s">
        <v>251</v>
      </c>
      <c r="H71" s="33">
        <v>0</v>
      </c>
    </row>
    <row r="72" spans="1:8">
      <c r="A72" s="141">
        <v>55</v>
      </c>
      <c r="B72" s="144" t="s">
        <v>94</v>
      </c>
      <c r="C72" s="30" t="s">
        <v>253</v>
      </c>
      <c r="D72" s="144">
        <f t="shared" ref="D72:H73" si="0">IF(AND(D62="na",D64="na",D66="na",D68="na",D70="na"),"na",IF(OR(D62="nd",D64="nd",D66="nd",D68="nd",D70="nd"),"nd",SUM(D62,D64,D66,D68,D70)))</f>
        <v>0</v>
      </c>
      <c r="E72" s="144">
        <f t="shared" si="0"/>
        <v>0</v>
      </c>
      <c r="F72" s="144">
        <f t="shared" si="0"/>
        <v>0</v>
      </c>
      <c r="G72" s="144" t="str">
        <f t="shared" si="0"/>
        <v>na</v>
      </c>
      <c r="H72" s="144">
        <f t="shared" si="0"/>
        <v>300</v>
      </c>
    </row>
    <row r="73" spans="1:8">
      <c r="A73" s="141">
        <v>56</v>
      </c>
      <c r="B73" s="144" t="s">
        <v>664</v>
      </c>
      <c r="C73" s="30" t="s">
        <v>253</v>
      </c>
      <c r="D73" s="144">
        <f t="shared" si="0"/>
        <v>0</v>
      </c>
      <c r="E73" s="144">
        <f t="shared" si="0"/>
        <v>0</v>
      </c>
      <c r="F73" s="144">
        <f t="shared" si="0"/>
        <v>0</v>
      </c>
      <c r="G73" s="144" t="str">
        <f t="shared" si="0"/>
        <v>na</v>
      </c>
      <c r="H73" s="144">
        <f t="shared" si="0"/>
        <v>300</v>
      </c>
    </row>
    <row r="74" spans="1:8" ht="15.75" thickBot="1">
      <c r="A74" s="141">
        <v>57</v>
      </c>
      <c r="B74" s="110" t="s">
        <v>665</v>
      </c>
      <c r="C74" s="30" t="s">
        <v>253</v>
      </c>
      <c r="D74" s="142"/>
      <c r="E74" s="33">
        <v>0</v>
      </c>
      <c r="F74" s="33">
        <v>0</v>
      </c>
      <c r="G74" s="33" t="s">
        <v>251</v>
      </c>
      <c r="H74" s="33">
        <v>240</v>
      </c>
    </row>
    <row r="75" spans="1:8" ht="15.75" thickBot="1">
      <c r="A75" s="141">
        <v>58</v>
      </c>
      <c r="B75" s="110" t="s">
        <v>666</v>
      </c>
      <c r="C75" s="30" t="s">
        <v>253</v>
      </c>
      <c r="D75" s="33">
        <v>0</v>
      </c>
      <c r="E75" s="33">
        <v>0</v>
      </c>
      <c r="F75" s="33">
        <v>0</v>
      </c>
      <c r="G75" s="33" t="s">
        <v>251</v>
      </c>
      <c r="H75" s="33">
        <v>150</v>
      </c>
    </row>
    <row r="76" spans="1:8">
      <c r="A76" s="141">
        <v>59</v>
      </c>
      <c r="B76" s="144" t="s">
        <v>93</v>
      </c>
      <c r="C76" s="30" t="s">
        <v>253</v>
      </c>
      <c r="D76" s="144">
        <f>IF(D73="na","na",IF(D73&lt;D72,IF(OR(D73="nd",D58="nd",D74="nd"),"nd",SUM(D73,D58)-D74),IF(D72="na","na",IF(OR(D72="nd",D58="nd",D74="nd"),"nd",SUM(D72,D58)-D74))))</f>
        <v>15</v>
      </c>
      <c r="E76" s="144">
        <f>IF(E73="na","na",IF(E73&lt;E72,IF(OR(E73="nd",E58="nd",E74="nd"),"nd",SUM(E73,E58)-E74),IF(E72="na","na",IF(OR(E72="nd",E58="nd",E74="nd"),"nd",SUM(E72,E58)-E74))))</f>
        <v>0.5</v>
      </c>
      <c r="F76" s="144">
        <f>IF(F73="na","na",IF(F73&lt;F72,IF(OR(F73="nd",F58="nd",F74="nd"),"nd",SUM(F73,F58)-F74),IF(F72="na","na",IF(OR(F72="nd",F58="nd",F74="nd"),"nd",SUM(F72,F58)-F74))))</f>
        <v>0.5</v>
      </c>
      <c r="G76" s="144" t="str">
        <f>IF(G73="na","na",IF(G73&lt;G72,IF(OR(G73="nd",G58="nd",G74="nd"),"nd",SUM(G73,G58)-G74),IF(G72="na","na",IF(OR(G72="nd",G58="nd",G74="nd"),"nd",SUM(G72,G58)-G74))))</f>
        <v>na</v>
      </c>
      <c r="H76" s="144">
        <f>IF(H73="na","na",IF(H73&lt;H72,IF(OR(H73="nd",H58="nd",H74="nd"),"nd",SUM(H73,H58)-H74),IF(H72="na","na",IF(OR(H72="nd",H58="nd",H74="nd"),"nd",SUM(H72,H58)-H74))))</f>
        <v>60</v>
      </c>
    </row>
    <row r="78" spans="1:8">
      <c r="A78" s="114"/>
      <c r="B78" s="154" t="s">
        <v>95</v>
      </c>
      <c r="C78" s="154"/>
      <c r="D78" s="154">
        <f>IF(D80="na","na",IF(OR(D80="nd",D81="nd"),"nd",D80*100/SUM(D80,D81)))</f>
        <v>0</v>
      </c>
      <c r="E78" s="154" t="str">
        <f>IF(E80="na","na",IF(OR(E80="nd",E81="nd"),"nd",E80*100/SUM(E80,E81)))</f>
        <v>na</v>
      </c>
      <c r="F78" s="154" t="str">
        <f>IF(F80="na","na",IF(OR(F80="nd",F81="nd"),"nd",F80*100/SUM(F80,F81)))</f>
        <v>na</v>
      </c>
      <c r="G78" s="154" t="str">
        <f>IF(G80="na","na",IF(OR(G80="nd",G81="nd"),"nd",G80*100/SUM(G80,G81)))</f>
        <v>na</v>
      </c>
      <c r="H78" s="154" t="str">
        <f>IF(H80="na","na",IF(OR(H80="nd",H81="nd"),"nd",H80*100/SUM(H80,H81)))</f>
        <v>na</v>
      </c>
    </row>
    <row r="79" spans="1:8">
      <c r="A79" s="140"/>
      <c r="B79" s="61" t="s">
        <v>667</v>
      </c>
      <c r="C79" s="61" t="s">
        <v>258</v>
      </c>
      <c r="D79" s="271" t="str">
        <f>'General Info'!D4</f>
        <v>FY 2008-2009</v>
      </c>
      <c r="E79" s="271" t="str">
        <f>'General Info'!E4</f>
        <v>FY 2009-2010</v>
      </c>
      <c r="F79" s="271" t="str">
        <f>'General Info'!F4</f>
        <v>FY 2010-2011</v>
      </c>
      <c r="G79" s="271" t="str">
        <f>'General Info'!G4</f>
        <v>FY 2011-2012</v>
      </c>
      <c r="H79" s="271" t="str">
        <f>'General Info'!H4</f>
        <v>FY 2012-2013</v>
      </c>
    </row>
    <row r="80" spans="1:8" ht="15.75" thickBot="1">
      <c r="A80" s="141">
        <v>60</v>
      </c>
      <c r="B80" s="110" t="s">
        <v>90</v>
      </c>
      <c r="C80" s="30" t="s">
        <v>253</v>
      </c>
      <c r="D80" s="33">
        <v>0</v>
      </c>
      <c r="E80" s="33" t="s">
        <v>251</v>
      </c>
      <c r="F80" s="33" t="s">
        <v>251</v>
      </c>
      <c r="G80" s="33" t="s">
        <v>251</v>
      </c>
      <c r="H80" s="33" t="s">
        <v>251</v>
      </c>
    </row>
    <row r="81" spans="1:9" ht="15.75" thickBot="1">
      <c r="A81" s="141">
        <v>61</v>
      </c>
      <c r="B81" s="110" t="s">
        <v>91</v>
      </c>
      <c r="C81" s="30" t="s">
        <v>253</v>
      </c>
      <c r="D81" s="33">
        <v>450</v>
      </c>
      <c r="E81" s="33">
        <v>428</v>
      </c>
      <c r="F81" s="33">
        <v>428</v>
      </c>
      <c r="G81" s="33">
        <v>540</v>
      </c>
      <c r="H81" s="33">
        <v>390</v>
      </c>
    </row>
    <row r="82" spans="1:9">
      <c r="A82" s="843"/>
      <c r="B82" s="843"/>
      <c r="C82" s="843"/>
      <c r="D82" s="843"/>
      <c r="E82" s="843"/>
      <c r="F82" s="153"/>
      <c r="G82" s="153"/>
      <c r="H82" s="153"/>
      <c r="I82" s="20">
        <f>IFERROR((H81-G81)/G81,0)</f>
        <v>-0.27777777777777779</v>
      </c>
    </row>
    <row r="83" spans="1:9">
      <c r="A83" s="114"/>
      <c r="B83" s="154" t="s">
        <v>40</v>
      </c>
      <c r="C83" s="154"/>
      <c r="D83" s="154">
        <f>IF(OR(D85="na",D86="na"),"na",IF(OR(D85="nd",D86="nd"),"nd",D86*100/D85))</f>
        <v>100</v>
      </c>
      <c r="E83" s="154">
        <f>IF(OR(E85="na",E86="na"),"na",IF(OR(E85="nd",E86="nd"),"nd",E86*100/E85))</f>
        <v>100</v>
      </c>
      <c r="F83" s="154">
        <f>IF(OR(F85="na",F86="na"),"na",IF(OR(F85="nd",F86="nd"),"nd",F86*100/F85))</f>
        <v>100</v>
      </c>
      <c r="G83" s="154">
        <f>IF(OR(G85="na",G86="na"),"na",IF(OR(G85="nd",G86="nd"),"nd",G86*100/G85))</f>
        <v>81.115879828326186</v>
      </c>
      <c r="H83" s="154">
        <f>IF(OR(H85="na",H86="na"),"na",IF(OR(H85="nd",H86="nd"),"nd",H86*100/H85))</f>
        <v>90.082644628099175</v>
      </c>
    </row>
    <row r="84" spans="1:9">
      <c r="A84" s="61"/>
      <c r="B84" s="61" t="s">
        <v>668</v>
      </c>
      <c r="C84" s="61" t="s">
        <v>258</v>
      </c>
      <c r="D84" s="271" t="str">
        <f>'General Info'!D4</f>
        <v>FY 2008-2009</v>
      </c>
      <c r="E84" s="271" t="str">
        <f>'General Info'!E4</f>
        <v>FY 2009-2010</v>
      </c>
      <c r="F84" s="271" t="str">
        <f>'General Info'!F4</f>
        <v>FY 2010-2011</v>
      </c>
      <c r="G84" s="271" t="str">
        <f>'General Info'!G4</f>
        <v>FY 2011-2012</v>
      </c>
      <c r="H84" s="271" t="str">
        <f>'General Info'!H4</f>
        <v>FY 2012-2013</v>
      </c>
    </row>
    <row r="85" spans="1:9">
      <c r="A85" s="141">
        <v>62</v>
      </c>
      <c r="B85" s="155" t="s">
        <v>379</v>
      </c>
      <c r="C85" s="30" t="s">
        <v>271</v>
      </c>
      <c r="D85" s="33">
        <v>240</v>
      </c>
      <c r="E85" s="31">
        <v>120</v>
      </c>
      <c r="F85" s="31">
        <v>90</v>
      </c>
      <c r="G85" s="31">
        <v>233</v>
      </c>
      <c r="H85" s="31">
        <v>242</v>
      </c>
    </row>
    <row r="86" spans="1:9">
      <c r="A86" s="141">
        <v>63</v>
      </c>
      <c r="B86" s="155" t="s">
        <v>380</v>
      </c>
      <c r="C86" s="30" t="s">
        <v>271</v>
      </c>
      <c r="D86" s="33">
        <v>240</v>
      </c>
      <c r="E86" s="31">
        <v>120</v>
      </c>
      <c r="F86" s="31">
        <v>90</v>
      </c>
      <c r="G86" s="31">
        <v>189</v>
      </c>
      <c r="H86" s="31">
        <v>218</v>
      </c>
    </row>
    <row r="87" spans="1:9">
      <c r="A87" s="843"/>
      <c r="B87" s="843"/>
      <c r="C87" s="843"/>
      <c r="D87" s="843"/>
      <c r="E87" s="843"/>
      <c r="F87" s="153"/>
      <c r="G87" s="153"/>
      <c r="H87" s="153"/>
    </row>
    <row r="88" spans="1:9">
      <c r="A88" s="114"/>
      <c r="B88" s="72" t="s">
        <v>98</v>
      </c>
      <c r="C88" s="72"/>
      <c r="D88" s="72">
        <f>IF(OR(D97="nd",D108="nd"),"nd",D108*100/D97)</f>
        <v>43.615865254007062</v>
      </c>
      <c r="E88" s="72">
        <f>IF(OR(E97="nd",E108="nd"),"nd",E108*100/E97)</f>
        <v>44.530328835320311</v>
      </c>
      <c r="F88" s="72">
        <f>IF(OR(F97="nd",F108="nd"),"nd",F108*100/F97)</f>
        <v>36.887176193534572</v>
      </c>
      <c r="G88" s="72">
        <f>IF(OR(G97="nd",G108="nd"),"nd",G108*100/G97)</f>
        <v>24.089298843660181</v>
      </c>
      <c r="H88" s="72">
        <f>IF(OR(H97="nd",H108="nd"),"nd",H108*100/H97)</f>
        <v>24.089298843660181</v>
      </c>
    </row>
    <row r="89" spans="1:9">
      <c r="A89" s="140"/>
      <c r="B89" s="61" t="s">
        <v>669</v>
      </c>
      <c r="C89" s="61" t="s">
        <v>258</v>
      </c>
      <c r="D89" s="271" t="str">
        <f>'General Info'!D4</f>
        <v>FY 2008-2009</v>
      </c>
      <c r="E89" s="271" t="str">
        <f>'General Info'!E4</f>
        <v>FY 2009-2010</v>
      </c>
      <c r="F89" s="271" t="str">
        <f>'General Info'!F4</f>
        <v>FY 2010-2011</v>
      </c>
      <c r="G89" s="271" t="str">
        <f>'General Info'!G4</f>
        <v>FY 2011-2012</v>
      </c>
      <c r="H89" s="271" t="str">
        <f>'General Info'!H4</f>
        <v>FY 2012-2013</v>
      </c>
    </row>
    <row r="90" spans="1:9">
      <c r="A90" s="141">
        <v>64</v>
      </c>
      <c r="B90" s="155" t="s">
        <v>670</v>
      </c>
      <c r="C90" s="30" t="s">
        <v>671</v>
      </c>
      <c r="D90" s="33">
        <v>68.62</v>
      </c>
      <c r="E90" s="33">
        <v>31.65</v>
      </c>
      <c r="F90" s="33">
        <v>0</v>
      </c>
      <c r="G90" s="33">
        <v>27.03</v>
      </c>
      <c r="H90" s="33">
        <v>27.03</v>
      </c>
    </row>
    <row r="91" spans="1:9" ht="15.75" thickBot="1">
      <c r="A91" s="141">
        <v>65</v>
      </c>
      <c r="B91" s="155" t="s">
        <v>672</v>
      </c>
      <c r="C91" s="30" t="s">
        <v>671</v>
      </c>
      <c r="D91" s="142"/>
      <c r="E91" s="33">
        <v>26.69</v>
      </c>
      <c r="F91" s="33">
        <v>0</v>
      </c>
      <c r="G91" s="33">
        <v>90.35</v>
      </c>
      <c r="H91" s="33">
        <v>90.35</v>
      </c>
      <c r="I91" s="20">
        <f>IFERROR(IF(H27="nd",(H91+H90)/H53,(H91+H90)/H27),0)</f>
        <v>0.21737037037037035</v>
      </c>
    </row>
    <row r="92" spans="1:9">
      <c r="A92" s="141">
        <v>66</v>
      </c>
      <c r="B92" s="155" t="s">
        <v>20</v>
      </c>
      <c r="C92" s="30" t="s">
        <v>671</v>
      </c>
      <c r="D92" s="33">
        <v>0</v>
      </c>
      <c r="E92" s="33">
        <v>0</v>
      </c>
      <c r="F92" s="33">
        <v>0</v>
      </c>
      <c r="G92" s="33">
        <v>12.11</v>
      </c>
      <c r="H92" s="33">
        <v>12.11</v>
      </c>
      <c r="I92" s="20">
        <f>IFERROR(IF(H27="nd",H92/H53,H92/H27),0)</f>
        <v>2.2425925925925926E-2</v>
      </c>
    </row>
    <row r="93" spans="1:9" ht="15.75" thickBot="1">
      <c r="A93" s="141">
        <v>67</v>
      </c>
      <c r="B93" s="155" t="s">
        <v>21</v>
      </c>
      <c r="C93" s="30" t="s">
        <v>671</v>
      </c>
      <c r="D93" s="142"/>
      <c r="E93" s="33">
        <v>0.09</v>
      </c>
      <c r="F93" s="33">
        <v>0</v>
      </c>
      <c r="G93" s="33">
        <v>2.2200000000000002</v>
      </c>
      <c r="H93" s="33">
        <v>2.2200000000000002</v>
      </c>
      <c r="I93" s="20">
        <f>IFERROR(IF(H27="nd",H93/H53,H93/H27),0)</f>
        <v>4.1111111111111114E-3</v>
      </c>
    </row>
    <row r="94" spans="1:9">
      <c r="A94" s="141">
        <v>68</v>
      </c>
      <c r="B94" s="155" t="s">
        <v>673</v>
      </c>
      <c r="C94" s="30" t="s">
        <v>671</v>
      </c>
      <c r="D94" s="33">
        <v>3.08</v>
      </c>
      <c r="E94" s="33">
        <v>2.7</v>
      </c>
      <c r="F94" s="33">
        <v>0</v>
      </c>
      <c r="G94" s="33">
        <v>7.89</v>
      </c>
      <c r="H94" s="33">
        <v>7.89</v>
      </c>
      <c r="I94" s="20">
        <f>IFERROR(IF(H27="nd",H94/H53,H94/H27),0)</f>
        <v>1.4611111111111111E-2</v>
      </c>
    </row>
    <row r="95" spans="1:9" ht="15.75" thickBot="1">
      <c r="A95" s="141">
        <v>69</v>
      </c>
      <c r="B95" s="155" t="s">
        <v>674</v>
      </c>
      <c r="C95" s="30" t="s">
        <v>671</v>
      </c>
      <c r="D95" s="142"/>
      <c r="E95" s="33">
        <v>7.65</v>
      </c>
      <c r="F95" s="33">
        <v>0</v>
      </c>
      <c r="G95" s="33">
        <v>6.4</v>
      </c>
      <c r="H95" s="33">
        <v>6.4</v>
      </c>
      <c r="I95" s="20">
        <f>IFERROR(IF(H27="nd",H95/H53,H95/H27),0)</f>
        <v>1.1851851851851853E-2</v>
      </c>
    </row>
    <row r="96" spans="1:9">
      <c r="A96" s="141">
        <v>70</v>
      </c>
      <c r="B96" s="155" t="s">
        <v>675</v>
      </c>
      <c r="C96" s="30" t="s">
        <v>671</v>
      </c>
      <c r="D96" s="33">
        <v>1.92</v>
      </c>
      <c r="E96" s="33">
        <v>7.55</v>
      </c>
      <c r="F96" s="33">
        <v>93.42</v>
      </c>
      <c r="G96" s="33">
        <v>3.61</v>
      </c>
      <c r="H96" s="33">
        <v>3.61</v>
      </c>
      <c r="I96" s="20">
        <f>IFERROR(IF(H27="nd",H96/H53,H96/H27),0)</f>
        <v>6.6851851851851846E-3</v>
      </c>
    </row>
    <row r="97" spans="1:9">
      <c r="A97" s="141">
        <v>71</v>
      </c>
      <c r="B97" s="144" t="s">
        <v>99</v>
      </c>
      <c r="C97" s="30" t="s">
        <v>671</v>
      </c>
      <c r="D97" s="144">
        <f>SUM(D90:D96)</f>
        <v>73.62</v>
      </c>
      <c r="E97" s="144">
        <f>IF(OR(E90="nd",E91="nd",E92="nd",E93="nd",E94="nd",E95="nd",E96="nd"),"nd",SUM(E90:E96))</f>
        <v>76.330000000000013</v>
      </c>
      <c r="F97" s="144">
        <f>IF(OR(F90="nd",F91="nd",F92="nd",F93="nd",F94="nd",F95="nd",F96="nd"),"nd",SUM(F90:F96))</f>
        <v>93.42</v>
      </c>
      <c r="G97" s="144">
        <f>IF(OR(G90="nd",G91="nd",G92="nd",G93="nd",G94="nd",G95="nd",G96="nd"),"nd",SUM(G90:G96))</f>
        <v>149.61000000000001</v>
      </c>
      <c r="H97" s="144">
        <f>IF(OR(H90="nd",H91="nd",H92="nd",H93="nd",H94="nd",H95="nd",H96="nd"),"nd",SUM(H90:H96))</f>
        <v>149.61000000000001</v>
      </c>
    </row>
    <row r="98" spans="1:9">
      <c r="A98" s="843"/>
      <c r="B98" s="843"/>
      <c r="C98" s="843"/>
      <c r="D98" s="843"/>
      <c r="E98" s="843"/>
      <c r="F98" s="153"/>
      <c r="G98" s="153"/>
      <c r="H98" s="153"/>
    </row>
    <row r="99" spans="1:9">
      <c r="A99" s="140"/>
      <c r="B99" s="61" t="s">
        <v>676</v>
      </c>
      <c r="C99" s="61" t="s">
        <v>258</v>
      </c>
      <c r="D99" s="271" t="str">
        <f>'General Info'!D4</f>
        <v>FY 2008-2009</v>
      </c>
      <c r="E99" s="271" t="str">
        <f>'General Info'!E4</f>
        <v>FY 2009-2010</v>
      </c>
      <c r="F99" s="271" t="str">
        <f>'General Info'!F4</f>
        <v>FY 2010-2011</v>
      </c>
      <c r="G99" s="271" t="str">
        <f>'General Info'!G4</f>
        <v>FY 2011-2012</v>
      </c>
      <c r="H99" s="271" t="str">
        <f>'General Info'!H4</f>
        <v>FY 2012-2013</v>
      </c>
    </row>
    <row r="100" spans="1:9" ht="15.75" thickBot="1">
      <c r="A100" s="141">
        <v>72</v>
      </c>
      <c r="B100" s="110" t="s">
        <v>677</v>
      </c>
      <c r="C100" s="30" t="s">
        <v>671</v>
      </c>
      <c r="D100" s="33">
        <v>21.16</v>
      </c>
      <c r="E100" s="33">
        <v>17.989999999999998</v>
      </c>
      <c r="F100" s="33">
        <v>22.73</v>
      </c>
      <c r="G100" s="33">
        <v>16.95</v>
      </c>
      <c r="H100" s="33">
        <v>16.95</v>
      </c>
    </row>
    <row r="101" spans="1:9" ht="15.75" thickBot="1">
      <c r="A101" s="141">
        <v>73</v>
      </c>
      <c r="B101" s="156" t="s">
        <v>678</v>
      </c>
      <c r="C101" s="30" t="s">
        <v>671</v>
      </c>
      <c r="D101" s="142"/>
      <c r="E101" s="33">
        <v>33.99</v>
      </c>
      <c r="F101" s="33">
        <v>34.46</v>
      </c>
      <c r="G101" s="33">
        <v>36.04</v>
      </c>
      <c r="H101" s="33">
        <v>36.04</v>
      </c>
    </row>
    <row r="102" spans="1:9">
      <c r="A102" s="141">
        <v>74</v>
      </c>
      <c r="B102" s="156" t="s">
        <v>679</v>
      </c>
      <c r="C102" s="30" t="s">
        <v>671</v>
      </c>
      <c r="D102" s="33">
        <v>32.11</v>
      </c>
      <c r="E102" s="33">
        <v>0</v>
      </c>
      <c r="F102" s="33">
        <v>0</v>
      </c>
      <c r="G102" s="33">
        <v>0</v>
      </c>
      <c r="H102" s="33">
        <v>0</v>
      </c>
    </row>
    <row r="103" spans="1:9" ht="15.75" thickBot="1">
      <c r="A103" s="141">
        <v>75</v>
      </c>
      <c r="B103" s="156" t="s">
        <v>680</v>
      </c>
      <c r="C103" s="30" t="s">
        <v>671</v>
      </c>
      <c r="D103" s="142"/>
      <c r="E103" s="33">
        <v>0</v>
      </c>
      <c r="F103" s="33">
        <v>0</v>
      </c>
      <c r="G103" s="33">
        <v>0</v>
      </c>
      <c r="H103" s="33">
        <v>0</v>
      </c>
    </row>
    <row r="104" spans="1:9" ht="15.75" thickBot="1">
      <c r="A104" s="141">
        <v>76</v>
      </c>
      <c r="B104" s="156" t="s">
        <v>681</v>
      </c>
      <c r="C104" s="30" t="s">
        <v>671</v>
      </c>
      <c r="D104" s="142"/>
      <c r="E104" s="33">
        <v>0</v>
      </c>
      <c r="F104" s="33">
        <v>0</v>
      </c>
      <c r="G104" s="33">
        <v>0</v>
      </c>
      <c r="H104" s="33">
        <v>0</v>
      </c>
    </row>
    <row r="105" spans="1:9" ht="15.75" thickBot="1">
      <c r="A105" s="141">
        <v>77</v>
      </c>
      <c r="B105" s="156" t="s">
        <v>682</v>
      </c>
      <c r="C105" s="30" t="s">
        <v>671</v>
      </c>
      <c r="D105" s="142"/>
      <c r="E105" s="33">
        <v>0</v>
      </c>
      <c r="F105" s="33">
        <v>0</v>
      </c>
      <c r="G105" s="33">
        <v>0</v>
      </c>
      <c r="H105" s="33">
        <v>0</v>
      </c>
    </row>
    <row r="106" spans="1:9" ht="15.75" thickBot="1">
      <c r="A106" s="141">
        <v>78</v>
      </c>
      <c r="B106" s="156" t="s">
        <v>683</v>
      </c>
      <c r="C106" s="30" t="s">
        <v>671</v>
      </c>
      <c r="D106" s="142"/>
      <c r="E106" s="33">
        <v>0</v>
      </c>
      <c r="F106" s="33">
        <v>0</v>
      </c>
      <c r="G106" s="33">
        <v>0</v>
      </c>
      <c r="H106" s="33">
        <v>0</v>
      </c>
    </row>
    <row r="107" spans="1:9">
      <c r="A107" s="141">
        <v>79</v>
      </c>
      <c r="B107" s="156" t="s">
        <v>542</v>
      </c>
      <c r="C107" s="30" t="s">
        <v>671</v>
      </c>
      <c r="D107" s="33">
        <v>0</v>
      </c>
      <c r="E107" s="33">
        <v>0</v>
      </c>
      <c r="F107" s="33">
        <v>0</v>
      </c>
      <c r="G107" s="33">
        <v>0</v>
      </c>
      <c r="H107" s="33">
        <v>0</v>
      </c>
    </row>
    <row r="108" spans="1:9">
      <c r="A108" s="141">
        <v>80</v>
      </c>
      <c r="B108" s="144" t="s">
        <v>97</v>
      </c>
      <c r="C108" s="30" t="s">
        <v>671</v>
      </c>
      <c r="D108" s="144">
        <f>SUM(D101:D107)</f>
        <v>32.11</v>
      </c>
      <c r="E108" s="144">
        <f>IF(OR(E101="nd",E102="nd",E103="nd",E104="nd",E105="nd",E106="nd",E107="nd"),"nd",SUM(E101:E107))</f>
        <v>33.99</v>
      </c>
      <c r="F108" s="144">
        <f>IF(OR(F101="nd",F102="nd",F103="nd",F104="nd",F105="nd",F106="nd",F107="nd"),"nd",SUM(F101:F107))</f>
        <v>34.46</v>
      </c>
      <c r="G108" s="144">
        <f>IF(OR(G101="nd",G102="nd",G103="nd",G104="nd",G105="nd",G106="nd",G107="nd"),"nd",SUM(G101:G107))</f>
        <v>36.04</v>
      </c>
      <c r="H108" s="144">
        <f>IF(OR(H101="nd",H102="nd",H103="nd",H104="nd",H105="nd",H106="nd",H107="nd"),"nd",SUM(H101:H107))</f>
        <v>36.04</v>
      </c>
      <c r="I108" s="295">
        <f>H108/H12</f>
        <v>1.3915595196725742E-3</v>
      </c>
    </row>
    <row r="110" spans="1:9">
      <c r="A110" s="114"/>
      <c r="B110" s="157" t="s">
        <v>96</v>
      </c>
      <c r="C110" s="157"/>
      <c r="D110" s="157">
        <f>IF(D114="na","na",IF(OR(D114="nd",D112="nd"),"nd",D114*100/D112))</f>
        <v>44.129554655870443</v>
      </c>
      <c r="E110" s="157">
        <f>IF(E114="na","na",IF(OR(E114="nd",E112="nd"),"nd",E114*100/E112))</f>
        <v>53.309796999117381</v>
      </c>
      <c r="F110" s="157">
        <f>IF(F114="na","na",IF(OR(F114="nd",F112="nd"),"nd",F114*100/F112))</f>
        <v>86.854323853743466</v>
      </c>
      <c r="G110" s="157">
        <f>IF(G114="na","na",IF(OR(G114="nd",G112="nd"),"nd",G114*100/G112))</f>
        <v>70.033296337402888</v>
      </c>
      <c r="H110" s="157">
        <f>IF(H114="na","na",IF(OR(H114="nd",H112="nd"),"nd",H114*100/H112))</f>
        <v>70.033296337402888</v>
      </c>
    </row>
    <row r="111" spans="1:9">
      <c r="A111" s="158"/>
      <c r="B111" s="61"/>
      <c r="C111" s="61" t="s">
        <v>258</v>
      </c>
      <c r="D111" s="271" t="str">
        <f>'General Info'!D4</f>
        <v>FY 2008-2009</v>
      </c>
      <c r="E111" s="271" t="str">
        <f>'General Info'!E4</f>
        <v>FY 2009-2010</v>
      </c>
      <c r="F111" s="271" t="str">
        <f>'General Info'!F4</f>
        <v>FY 2010-2011</v>
      </c>
      <c r="G111" s="271" t="str">
        <f>'General Info'!G4</f>
        <v>FY 2011-2012</v>
      </c>
      <c r="H111" s="271" t="str">
        <f>'General Info'!H4</f>
        <v>FY 2012-2013</v>
      </c>
    </row>
    <row r="112" spans="1:9">
      <c r="A112" s="141">
        <v>81</v>
      </c>
      <c r="B112" s="144" t="s">
        <v>97</v>
      </c>
      <c r="C112" s="30" t="s">
        <v>671</v>
      </c>
      <c r="D112" s="144">
        <f>D108</f>
        <v>32.11</v>
      </c>
      <c r="E112" s="144">
        <f>E108</f>
        <v>33.99</v>
      </c>
      <c r="F112" s="144">
        <f>F108</f>
        <v>34.46</v>
      </c>
      <c r="G112" s="144">
        <f>G108</f>
        <v>36.04</v>
      </c>
      <c r="H112" s="144">
        <f>H108</f>
        <v>36.04</v>
      </c>
    </row>
    <row r="113" spans="1:8" ht="15.75" thickBot="1">
      <c r="A113" s="141">
        <v>82</v>
      </c>
      <c r="B113" s="110" t="s">
        <v>549</v>
      </c>
      <c r="C113" s="30" t="s">
        <v>671</v>
      </c>
      <c r="D113" s="33">
        <v>8.27</v>
      </c>
      <c r="E113" s="33">
        <v>11.12</v>
      </c>
      <c r="F113" s="33">
        <v>12.02</v>
      </c>
      <c r="G113" s="33">
        <v>5.65</v>
      </c>
      <c r="H113" s="33">
        <v>5.65</v>
      </c>
    </row>
    <row r="114" spans="1:8" ht="15.75" thickBot="1">
      <c r="A114" s="141">
        <v>83</v>
      </c>
      <c r="B114" s="110" t="s">
        <v>220</v>
      </c>
      <c r="C114" s="30" t="s">
        <v>671</v>
      </c>
      <c r="D114" s="33">
        <v>14.17</v>
      </c>
      <c r="E114" s="33">
        <v>18.12</v>
      </c>
      <c r="F114" s="33">
        <v>29.93</v>
      </c>
      <c r="G114" s="33">
        <v>25.24</v>
      </c>
      <c r="H114" s="33">
        <v>25.24</v>
      </c>
    </row>
    <row r="115" spans="1:8">
      <c r="A115" s="842"/>
      <c r="B115" s="842"/>
      <c r="C115" s="842"/>
      <c r="D115" s="842"/>
      <c r="E115" s="842"/>
      <c r="F115" s="121"/>
      <c r="G115" s="121"/>
      <c r="H115" s="121"/>
    </row>
    <row r="116" spans="1:8">
      <c r="A116" s="839" t="s">
        <v>684</v>
      </c>
      <c r="B116" s="839"/>
      <c r="C116" s="839"/>
      <c r="D116" s="839"/>
      <c r="E116" s="839"/>
      <c r="F116" s="80"/>
      <c r="G116" s="80"/>
      <c r="H116" s="80"/>
    </row>
    <row r="117" spans="1:8">
      <c r="A117" s="158"/>
      <c r="B117" s="61" t="s">
        <v>416</v>
      </c>
      <c r="C117" s="61" t="s">
        <v>258</v>
      </c>
      <c r="D117" s="271" t="str">
        <f>'General Info'!D4</f>
        <v>FY 2008-2009</v>
      </c>
      <c r="E117" s="271" t="str">
        <f>'General Info'!E4</f>
        <v>FY 2009-2010</v>
      </c>
      <c r="F117" s="271" t="str">
        <f>'General Info'!F4</f>
        <v>FY 2010-2011</v>
      </c>
      <c r="G117" s="271" t="str">
        <f>'General Info'!G4</f>
        <v>FY 2011-2012</v>
      </c>
      <c r="H117" s="271" t="str">
        <f>'General Info'!H4</f>
        <v>FY 2012-2013</v>
      </c>
    </row>
    <row r="118" spans="1:8">
      <c r="A118" s="159">
        <v>84</v>
      </c>
      <c r="B118" s="82" t="s">
        <v>685</v>
      </c>
      <c r="C118" s="30" t="s">
        <v>271</v>
      </c>
      <c r="D118" s="151"/>
      <c r="E118" s="31">
        <v>1</v>
      </c>
      <c r="F118" s="31">
        <v>1</v>
      </c>
      <c r="G118" s="31">
        <v>1</v>
      </c>
      <c r="H118" s="31">
        <v>0</v>
      </c>
    </row>
    <row r="119" spans="1:8">
      <c r="A119" s="159">
        <v>85</v>
      </c>
      <c r="B119" s="82" t="s">
        <v>686</v>
      </c>
      <c r="C119" s="30" t="s">
        <v>271</v>
      </c>
      <c r="D119" s="151"/>
      <c r="E119" s="31">
        <v>0</v>
      </c>
      <c r="F119" s="31">
        <v>0</v>
      </c>
      <c r="G119" s="31">
        <v>0</v>
      </c>
      <c r="H119" s="31">
        <v>0</v>
      </c>
    </row>
    <row r="120" spans="1:8">
      <c r="A120" s="159">
        <v>86</v>
      </c>
      <c r="B120" s="82" t="s">
        <v>687</v>
      </c>
      <c r="C120" s="30" t="s">
        <v>271</v>
      </c>
      <c r="D120" s="151"/>
      <c r="E120" s="31">
        <v>1</v>
      </c>
      <c r="F120" s="31">
        <v>1</v>
      </c>
      <c r="G120" s="31">
        <v>1</v>
      </c>
      <c r="H120" s="31">
        <v>1</v>
      </c>
    </row>
    <row r="121" spans="1:8">
      <c r="A121" s="159">
        <v>87</v>
      </c>
      <c r="B121" s="82" t="s">
        <v>688</v>
      </c>
      <c r="C121" s="30" t="s">
        <v>271</v>
      </c>
      <c r="D121" s="151"/>
      <c r="E121" s="31">
        <v>2</v>
      </c>
      <c r="F121" s="31">
        <v>2</v>
      </c>
      <c r="G121" s="31">
        <v>2</v>
      </c>
      <c r="H121" s="31">
        <v>1</v>
      </c>
    </row>
    <row r="122" spans="1:8">
      <c r="A122" s="159">
        <v>88</v>
      </c>
      <c r="B122" s="82" t="s">
        <v>689</v>
      </c>
      <c r="C122" s="30" t="s">
        <v>271</v>
      </c>
      <c r="D122" s="151"/>
      <c r="E122" s="31">
        <v>0</v>
      </c>
      <c r="F122" s="31">
        <v>0</v>
      </c>
      <c r="G122" s="31">
        <v>4</v>
      </c>
      <c r="H122" s="31">
        <v>4</v>
      </c>
    </row>
    <row r="123" spans="1:8">
      <c r="A123" s="159">
        <v>89</v>
      </c>
      <c r="B123" s="82" t="s">
        <v>690</v>
      </c>
      <c r="C123" s="30" t="s">
        <v>271</v>
      </c>
      <c r="D123" s="151"/>
      <c r="E123" s="31">
        <v>6</v>
      </c>
      <c r="F123" s="31">
        <v>6</v>
      </c>
      <c r="G123" s="31">
        <v>4</v>
      </c>
      <c r="H123" s="31">
        <v>4</v>
      </c>
    </row>
    <row r="124" spans="1:8">
      <c r="A124" s="159">
        <v>90</v>
      </c>
      <c r="B124" s="82" t="s">
        <v>691</v>
      </c>
      <c r="C124" s="30" t="s">
        <v>271</v>
      </c>
      <c r="D124" s="151"/>
      <c r="E124" s="31">
        <v>77</v>
      </c>
      <c r="F124" s="31">
        <v>77</v>
      </c>
      <c r="G124" s="31">
        <v>77</v>
      </c>
      <c r="H124" s="31">
        <v>77</v>
      </c>
    </row>
    <row r="125" spans="1:8">
      <c r="A125" s="159">
        <v>91</v>
      </c>
      <c r="B125" s="82" t="s">
        <v>692</v>
      </c>
      <c r="C125" s="30" t="s">
        <v>271</v>
      </c>
      <c r="D125" s="151"/>
      <c r="E125" s="31">
        <v>128</v>
      </c>
      <c r="F125" s="31">
        <v>128</v>
      </c>
      <c r="G125" s="31">
        <v>127</v>
      </c>
      <c r="H125" s="31">
        <v>142</v>
      </c>
    </row>
    <row r="126" spans="1:8">
      <c r="A126" s="159">
        <v>92</v>
      </c>
      <c r="B126" s="82" t="s">
        <v>693</v>
      </c>
      <c r="C126" s="30" t="s">
        <v>271</v>
      </c>
      <c r="D126" s="151"/>
      <c r="E126" s="31">
        <v>6</v>
      </c>
      <c r="F126" s="31">
        <v>6</v>
      </c>
      <c r="G126" s="31">
        <v>6</v>
      </c>
      <c r="H126" s="31">
        <v>6</v>
      </c>
    </row>
    <row r="127" spans="1:8">
      <c r="A127" s="159">
        <v>93</v>
      </c>
      <c r="B127" s="82" t="s">
        <v>694</v>
      </c>
      <c r="C127" s="30" t="s">
        <v>271</v>
      </c>
      <c r="D127" s="151"/>
      <c r="E127" s="31">
        <v>3</v>
      </c>
      <c r="F127" s="31">
        <v>3</v>
      </c>
      <c r="G127" s="31">
        <v>13</v>
      </c>
      <c r="H127" s="31">
        <v>17</v>
      </c>
    </row>
    <row r="128" spans="1:8">
      <c r="A128" s="159">
        <v>94</v>
      </c>
      <c r="B128" s="160" t="s">
        <v>429</v>
      </c>
      <c r="C128" s="30" t="s">
        <v>271</v>
      </c>
      <c r="D128" s="151"/>
      <c r="E128" s="31">
        <v>0</v>
      </c>
      <c r="F128" s="31">
        <v>0</v>
      </c>
      <c r="G128" s="31">
        <v>6</v>
      </c>
      <c r="H128" s="31">
        <v>6</v>
      </c>
    </row>
    <row r="129" spans="1:8">
      <c r="A129" s="159">
        <v>95</v>
      </c>
      <c r="B129" s="160" t="s">
        <v>430</v>
      </c>
      <c r="C129" s="30" t="s">
        <v>271</v>
      </c>
      <c r="D129" s="151"/>
      <c r="E129" s="31">
        <v>0</v>
      </c>
      <c r="F129" s="31">
        <v>0</v>
      </c>
      <c r="G129" s="31">
        <v>6</v>
      </c>
      <c r="H129" s="31">
        <v>2</v>
      </c>
    </row>
    <row r="130" spans="1:8">
      <c r="A130" s="159">
        <v>96</v>
      </c>
      <c r="B130" s="160" t="s">
        <v>695</v>
      </c>
      <c r="C130" s="30" t="s">
        <v>271</v>
      </c>
      <c r="D130" s="151"/>
      <c r="E130" s="31">
        <v>0</v>
      </c>
      <c r="F130" s="31">
        <v>0</v>
      </c>
      <c r="G130" s="31">
        <v>1</v>
      </c>
      <c r="H130" s="31">
        <v>1</v>
      </c>
    </row>
    <row r="131" spans="1:8">
      <c r="A131" s="159">
        <v>97</v>
      </c>
      <c r="B131" s="82" t="s">
        <v>431</v>
      </c>
      <c r="C131" s="30" t="s">
        <v>271</v>
      </c>
      <c r="D131" s="151">
        <f>IF(AND(D128="na",D126="na",D124="na",D122="na",D120="na",D118="na"),"na",IF(OR(D128="nd",D126="nd",D124="nd",D122="nd",D120="nd",D118="nd"),"nd",SUM(D128,D126,D124,D122,D120,D118)))</f>
        <v>0</v>
      </c>
      <c r="E131" s="151">
        <f>IF(AND(E128="na",E126="na",E124="na",E122="na",E120="na",E118="na"),"na",IF(OR(E128="nd",E126="nd",E124="nd",E122="nd",E120="nd",E118="nd"),"nd",SUM(E128,E126,E124,E122,E120,E118)))</f>
        <v>85</v>
      </c>
      <c r="F131" s="151">
        <f>IF(AND(F128="na",F126="na",F124="na",F122="na",F120="na",F118="na"),"na",IF(OR(F128="nd",F126="nd",F124="nd",F122="nd",F120="nd",F118="nd"),"nd",SUM(F128,F126,F124,F122,F120,F118)))</f>
        <v>85</v>
      </c>
      <c r="G131" s="151">
        <f>IF(AND(G128="na",G126="na",G124="na",G122="na",G120="na",G118="na"),"na",IF(OR(G128="nd",G126="nd",G124="nd",G122="nd",G120="nd",G118="nd"),"nd",SUM(G128,G126,G124,G122,G120,G118)))</f>
        <v>95</v>
      </c>
      <c r="H131" s="151">
        <f>IF(AND(H128="na",H126="na",H124="na",H122="na",H120="na",H118="na"),"na",IF(OR(H128="nd",H126="nd",H124="nd",H122="nd",H120="nd",H118="nd"),"nd",SUM(H128,H126,H124,H122,H120,H118)))</f>
        <v>94</v>
      </c>
    </row>
    <row r="132" spans="1:8">
      <c r="A132" s="159">
        <v>98</v>
      </c>
      <c r="B132" s="82" t="s">
        <v>432</v>
      </c>
      <c r="C132" s="30" t="s">
        <v>271</v>
      </c>
      <c r="D132" s="151">
        <f>IF(AND(D129="na",D127="na",D125="na",D123="na",D121="na",D119="na",D130="na"),"na",IF(OR(D129="nd",D127="nd",D125="nd",D123="nd",D121="nd",D119="nd",D130="nd"),"nd",SUM(D129,D127,D125,D123,D121,D119,D130)))</f>
        <v>0</v>
      </c>
      <c r="E132" s="151">
        <f>IF(AND(E129="na",E127="na",E125="na",E123="na",E121="na",E119="na",E130="na"),"na",IF(OR(E129="nd",E127="nd",E125="nd",E123="nd",E121="nd",E119="nd",E130="nd"),"nd",SUM(E129,E127,E125,E123,E121,E119,E130)))</f>
        <v>139</v>
      </c>
      <c r="F132" s="151">
        <f>IF(AND(F129="na",F127="na",F125="na",F123="na",F121="na",F119="na",F130="na"),"na",IF(OR(F129="nd",F127="nd",F125="nd",F123="nd",F121="nd",F119="nd",F130="nd"),"nd",SUM(F129,F127,F125,F123,F121,F119,F130)))</f>
        <v>139</v>
      </c>
      <c r="G132" s="151">
        <f>IF(AND(G129="na",G127="na",G125="na",G123="na",G121="na",G119="na",G130="na"),"na",IF(OR(G129="nd",G127="nd",G125="nd",G123="nd",G121="nd",G119="nd",G130="nd"),"nd",SUM(G129,G127,G125,G123,G121,G119,G130)))</f>
        <v>153</v>
      </c>
      <c r="H132" s="151">
        <f>IF(AND(H129="na",H127="na",H125="na",H123="na",H121="na",H119="na",H130="na"),"na",IF(OR(H129="nd",H127="nd",H125="nd",H123="nd",H121="nd",H119="nd",H130="nd"),"nd",SUM(H129,H127,H125,H123,H121,H119,H130)))</f>
        <v>167</v>
      </c>
    </row>
    <row r="133" spans="1:8">
      <c r="A133" s="161"/>
      <c r="B133" s="162"/>
      <c r="C133" s="162"/>
      <c r="D133" s="162"/>
      <c r="E133" s="162"/>
      <c r="F133" s="162"/>
      <c r="G133" s="162"/>
      <c r="H133" s="162"/>
    </row>
    <row r="134" spans="1:8">
      <c r="A134" s="159">
        <v>99</v>
      </c>
      <c r="B134" s="294" t="s">
        <v>696</v>
      </c>
      <c r="C134" s="30" t="s">
        <v>562</v>
      </c>
      <c r="D134" s="163"/>
      <c r="E134" s="39" t="s">
        <v>697</v>
      </c>
      <c r="F134" s="39" t="s">
        <v>697</v>
      </c>
      <c r="G134" s="39" t="s">
        <v>697</v>
      </c>
      <c r="H134" s="39" t="s">
        <v>697</v>
      </c>
    </row>
    <row r="135" spans="1:8">
      <c r="A135" s="159">
        <v>100</v>
      </c>
      <c r="B135" s="294" t="s">
        <v>698</v>
      </c>
      <c r="C135" s="30" t="s">
        <v>562</v>
      </c>
      <c r="D135" s="163"/>
      <c r="E135" s="39" t="s">
        <v>697</v>
      </c>
      <c r="F135" s="39" t="s">
        <v>697</v>
      </c>
      <c r="G135" s="39" t="s">
        <v>697</v>
      </c>
      <c r="H135" s="39" t="s">
        <v>697</v>
      </c>
    </row>
    <row r="136" spans="1:8">
      <c r="A136" s="159">
        <v>101</v>
      </c>
      <c r="B136" s="294" t="s">
        <v>699</v>
      </c>
      <c r="C136" s="30" t="s">
        <v>562</v>
      </c>
      <c r="D136" s="163"/>
      <c r="E136" s="39" t="s">
        <v>697</v>
      </c>
      <c r="F136" s="39" t="s">
        <v>697</v>
      </c>
      <c r="G136" s="39" t="s">
        <v>697</v>
      </c>
      <c r="H136" s="39" t="s">
        <v>697</v>
      </c>
    </row>
    <row r="137" spans="1:8">
      <c r="A137" s="159">
        <v>102</v>
      </c>
      <c r="B137" s="294" t="s">
        <v>700</v>
      </c>
      <c r="C137" s="30" t="s">
        <v>562</v>
      </c>
      <c r="D137" s="163"/>
      <c r="E137" s="39" t="s">
        <v>697</v>
      </c>
      <c r="F137" s="39" t="s">
        <v>697</v>
      </c>
      <c r="G137" s="39" t="s">
        <v>697</v>
      </c>
      <c r="H137" s="39" t="s">
        <v>697</v>
      </c>
    </row>
    <row r="138" spans="1:8" ht="15.75" thickBot="1">
      <c r="A138" s="159"/>
      <c r="B138" s="294"/>
      <c r="C138" s="164"/>
      <c r="D138" s="163"/>
      <c r="E138" s="163"/>
      <c r="F138" s="163"/>
      <c r="G138" s="163"/>
      <c r="H138" s="163"/>
    </row>
    <row r="139" spans="1:8">
      <c r="A139" s="158"/>
      <c r="B139" s="61" t="s">
        <v>701</v>
      </c>
      <c r="C139" s="61" t="s">
        <v>258</v>
      </c>
      <c r="D139" s="271" t="str">
        <f>'General Info'!D4</f>
        <v>FY 2008-2009</v>
      </c>
      <c r="E139" s="271" t="str">
        <f>'General Info'!E4</f>
        <v>FY 2009-2010</v>
      </c>
      <c r="F139" s="271" t="str">
        <f>'General Info'!F4</f>
        <v>FY 2010-2011</v>
      </c>
      <c r="G139" s="271" t="str">
        <f>'General Info'!G4</f>
        <v>FY 2011-2012</v>
      </c>
      <c r="H139" s="271" t="str">
        <f>'General Info'!H4</f>
        <v>FY 2012-2013</v>
      </c>
    </row>
    <row r="140" spans="1:8">
      <c r="A140" s="159">
        <v>103</v>
      </c>
      <c r="B140" s="33" t="s">
        <v>702</v>
      </c>
      <c r="C140" s="30" t="s">
        <v>703</v>
      </c>
      <c r="D140" s="163"/>
      <c r="E140" s="33">
        <v>8.33</v>
      </c>
      <c r="F140" s="33">
        <v>8.33</v>
      </c>
      <c r="G140" s="33">
        <v>8.33</v>
      </c>
      <c r="H140" s="33">
        <v>8.33</v>
      </c>
    </row>
    <row r="141" spans="1:8">
      <c r="A141" s="159">
        <v>104</v>
      </c>
      <c r="B141" s="33" t="s">
        <v>704</v>
      </c>
      <c r="C141" s="30" t="s">
        <v>703</v>
      </c>
      <c r="D141" s="163"/>
      <c r="E141" s="33">
        <v>4.7</v>
      </c>
      <c r="F141" s="33">
        <v>4.7</v>
      </c>
      <c r="G141" s="33">
        <v>8.33</v>
      </c>
      <c r="H141" s="33">
        <v>8.33</v>
      </c>
    </row>
    <row r="142" spans="1:8">
      <c r="A142" s="159">
        <v>105</v>
      </c>
      <c r="B142" s="33" t="s">
        <v>705</v>
      </c>
      <c r="C142" s="30" t="s">
        <v>703</v>
      </c>
      <c r="D142" s="163"/>
      <c r="E142" s="33">
        <v>25</v>
      </c>
      <c r="F142" s="33">
        <v>25</v>
      </c>
      <c r="G142" s="33">
        <v>8.33</v>
      </c>
      <c r="H142" s="33">
        <v>8.33</v>
      </c>
    </row>
    <row r="143" spans="1:8">
      <c r="A143" s="159">
        <v>106</v>
      </c>
      <c r="B143" s="33" t="s">
        <v>706</v>
      </c>
      <c r="C143" s="30" t="s">
        <v>703</v>
      </c>
      <c r="D143" s="163"/>
      <c r="E143" s="33" t="s">
        <v>251</v>
      </c>
      <c r="F143" s="33" t="s">
        <v>251</v>
      </c>
      <c r="G143" s="33" t="s">
        <v>251</v>
      </c>
      <c r="H143" s="33" t="s">
        <v>251</v>
      </c>
    </row>
    <row r="144" spans="1:8">
      <c r="A144" s="159">
        <v>107</v>
      </c>
      <c r="B144" s="33" t="s">
        <v>44</v>
      </c>
      <c r="C144" s="30" t="s">
        <v>703</v>
      </c>
      <c r="D144" s="163"/>
      <c r="E144" s="33" t="s">
        <v>251</v>
      </c>
      <c r="F144" s="33" t="s">
        <v>251</v>
      </c>
      <c r="G144" s="33" t="s">
        <v>251</v>
      </c>
      <c r="H144" s="33" t="s">
        <v>251</v>
      </c>
    </row>
    <row r="146" spans="1:8">
      <c r="A146" s="165" t="s">
        <v>256</v>
      </c>
      <c r="B146" s="87" t="s">
        <v>707</v>
      </c>
      <c r="C146" s="88" t="s">
        <v>258</v>
      </c>
      <c r="D146" s="272" t="str">
        <f>'General Info'!D4</f>
        <v>FY 2008-2009</v>
      </c>
      <c r="E146" s="272" t="str">
        <f>'General Info'!E4</f>
        <v>FY 2009-2010</v>
      </c>
      <c r="F146" s="272" t="str">
        <f>'General Info'!F4</f>
        <v>FY 2010-2011</v>
      </c>
      <c r="G146" s="272" t="str">
        <f>'General Info'!G4</f>
        <v>FY 2011-2012</v>
      </c>
      <c r="H146" s="272" t="str">
        <f>'General Info'!H4</f>
        <v>FY 2012-2013</v>
      </c>
    </row>
    <row r="147" spans="1:8">
      <c r="A147" s="166">
        <v>1</v>
      </c>
      <c r="B147" s="167" t="s">
        <v>103</v>
      </c>
      <c r="C147" s="30" t="s">
        <v>268</v>
      </c>
      <c r="D147" s="168">
        <f>D5</f>
        <v>99.710462820794035</v>
      </c>
      <c r="E147" s="168">
        <f>E5</f>
        <v>92.588862559241704</v>
      </c>
      <c r="F147" s="168">
        <f>F5</f>
        <v>91.190381218303031</v>
      </c>
      <c r="G147" s="168">
        <f>G5</f>
        <v>93.208949324057244</v>
      </c>
      <c r="H147" s="168">
        <f>H5</f>
        <v>99.730447841657366</v>
      </c>
    </row>
    <row r="148" spans="1:8">
      <c r="A148" s="166">
        <v>2</v>
      </c>
      <c r="B148" s="167" t="s">
        <v>100</v>
      </c>
      <c r="C148" s="30" t="s">
        <v>268</v>
      </c>
      <c r="D148" s="169">
        <f>D14</f>
        <v>2.9411764705882355</v>
      </c>
      <c r="E148" s="169">
        <f>E14</f>
        <v>95.222222222222229</v>
      </c>
      <c r="F148" s="169">
        <f>F14</f>
        <v>95.222222222222229</v>
      </c>
      <c r="G148" s="169">
        <f>G14</f>
        <v>94.736842105263165</v>
      </c>
      <c r="H148" s="169">
        <f>H14</f>
        <v>94.736842105263165</v>
      </c>
    </row>
    <row r="149" spans="1:8">
      <c r="A149" s="166">
        <v>3</v>
      </c>
      <c r="B149" s="167" t="s">
        <v>166</v>
      </c>
      <c r="C149" s="30" t="s">
        <v>268</v>
      </c>
      <c r="D149" s="170">
        <f>D55</f>
        <v>3.3333333333333335</v>
      </c>
      <c r="E149" s="170">
        <f>E55</f>
        <v>0.11682242990654204</v>
      </c>
      <c r="F149" s="170">
        <f>F55</f>
        <v>0.11682242990654204</v>
      </c>
      <c r="G149" s="170">
        <f>G55</f>
        <v>0</v>
      </c>
      <c r="H149" s="170">
        <f>H55</f>
        <v>0</v>
      </c>
    </row>
    <row r="150" spans="1:8">
      <c r="A150" s="166">
        <v>4</v>
      </c>
      <c r="B150" s="167" t="s">
        <v>101</v>
      </c>
      <c r="C150" s="30" t="s">
        <v>268</v>
      </c>
      <c r="D150" s="170">
        <f>D60</f>
        <v>100</v>
      </c>
      <c r="E150" s="170">
        <f>E60</f>
        <v>0.11668611435239205</v>
      </c>
      <c r="F150" s="170">
        <f>F60</f>
        <v>0.11668611435239205</v>
      </c>
      <c r="G150" s="170" t="str">
        <f>G60</f>
        <v>na</v>
      </c>
      <c r="H150" s="170">
        <f>H60</f>
        <v>11.111111111111111</v>
      </c>
    </row>
    <row r="151" spans="1:8">
      <c r="A151" s="166">
        <v>5</v>
      </c>
      <c r="B151" s="167" t="s">
        <v>109</v>
      </c>
      <c r="C151" s="30" t="s">
        <v>268</v>
      </c>
      <c r="D151" s="168">
        <f>D78</f>
        <v>0</v>
      </c>
      <c r="E151" s="168" t="str">
        <f>E78</f>
        <v>na</v>
      </c>
      <c r="F151" s="168" t="str">
        <f>F78</f>
        <v>na</v>
      </c>
      <c r="G151" s="168" t="str">
        <f>G78</f>
        <v>na</v>
      </c>
      <c r="H151" s="168" t="str">
        <f>H78</f>
        <v>na</v>
      </c>
    </row>
    <row r="152" spans="1:8">
      <c r="A152" s="166">
        <v>6</v>
      </c>
      <c r="B152" s="167" t="s">
        <v>708</v>
      </c>
      <c r="C152" s="30" t="s">
        <v>268</v>
      </c>
      <c r="D152" s="171">
        <f>D88</f>
        <v>43.615865254007062</v>
      </c>
      <c r="E152" s="172">
        <f>E88</f>
        <v>44.530328835320311</v>
      </c>
      <c r="F152" s="172">
        <f>F88</f>
        <v>36.887176193534572</v>
      </c>
      <c r="G152" s="172">
        <f>G88</f>
        <v>24.089298843660181</v>
      </c>
      <c r="H152" s="172">
        <f>H88</f>
        <v>24.089298843660181</v>
      </c>
    </row>
    <row r="153" spans="1:8">
      <c r="A153" s="166">
        <v>7</v>
      </c>
      <c r="B153" s="167" t="s">
        <v>709</v>
      </c>
      <c r="C153" s="30" t="s">
        <v>268</v>
      </c>
      <c r="D153" s="168">
        <f>D110</f>
        <v>44.129554655870443</v>
      </c>
      <c r="E153" s="168">
        <f>E110</f>
        <v>53.309796999117381</v>
      </c>
      <c r="F153" s="168">
        <f>F110</f>
        <v>86.854323853743466</v>
      </c>
      <c r="G153" s="168">
        <f>G110</f>
        <v>70.033296337402888</v>
      </c>
      <c r="H153" s="168">
        <f>H110</f>
        <v>70.033296337402888</v>
      </c>
    </row>
    <row r="154" spans="1:8">
      <c r="A154" s="166">
        <v>8</v>
      </c>
      <c r="B154" s="167" t="s">
        <v>32</v>
      </c>
      <c r="C154" s="30" t="s">
        <v>268</v>
      </c>
      <c r="D154" s="168">
        <f>D83</f>
        <v>100</v>
      </c>
      <c r="E154" s="168">
        <f>E83</f>
        <v>100</v>
      </c>
      <c r="F154" s="168">
        <f>F83</f>
        <v>100</v>
      </c>
      <c r="G154" s="168">
        <f>G83</f>
        <v>81.115879828326186</v>
      </c>
      <c r="H154" s="168">
        <f>H83</f>
        <v>90.082644628099175</v>
      </c>
    </row>
    <row r="156" spans="1:8">
      <c r="A156" s="86" t="s">
        <v>256</v>
      </c>
      <c r="B156" s="93" t="s">
        <v>710</v>
      </c>
      <c r="C156" s="94"/>
      <c r="D156" s="272" t="str">
        <f>'General Info'!D4</f>
        <v>FY 2008-2009</v>
      </c>
      <c r="E156" s="272" t="str">
        <f>'General Info'!E4</f>
        <v>FY 2009-2010</v>
      </c>
      <c r="F156" s="272" t="str">
        <f>'General Info'!F4</f>
        <v>FY 2010-2011</v>
      </c>
      <c r="G156" s="272" t="str">
        <f>'General Info'!G4</f>
        <v>FY 2011-2012</v>
      </c>
      <c r="H156" s="272" t="str">
        <f>'General Info'!H4</f>
        <v>FY 2012-2013</v>
      </c>
    </row>
    <row r="157" spans="1:8">
      <c r="A157" s="89">
        <v>1</v>
      </c>
      <c r="B157" s="173" t="s">
        <v>103</v>
      </c>
      <c r="C157" s="174"/>
      <c r="D157" s="138"/>
      <c r="E157" s="138" t="e">
        <f>IF([5]Reliability!D23="Y","A",IF([5]Reliability!D24="Y","B",IF([5]Reliability!D25="Y","C","D")))</f>
        <v>#REF!</v>
      </c>
      <c r="F157" s="138" t="e">
        <f>IF([5]Reliability!E23="Y","A",IF([5]Reliability!E24="Y","B",IF([5]Reliability!E25="Y","C","D")))</f>
        <v>#REF!</v>
      </c>
      <c r="G157" s="138" t="e">
        <f>IF([5]Reliability!F23="Y","A",IF([5]Reliability!F24="Y","B",IF([5]Reliability!F25="Y","C","D")))</f>
        <v>#REF!</v>
      </c>
      <c r="H157" s="138" t="e">
        <f>IF([5]Reliability!G23="Y","A",IF([5]Reliability!G24="Y","B",IF([5]Reliability!G25="Y","C","D")))</f>
        <v>#REF!</v>
      </c>
    </row>
    <row r="158" spans="1:8">
      <c r="A158" s="89">
        <f t="shared" ref="A158:A164" si="1">A157+1</f>
        <v>2</v>
      </c>
      <c r="B158" s="96" t="s">
        <v>100</v>
      </c>
      <c r="C158" s="97"/>
      <c r="D158" s="137"/>
      <c r="E158" s="138" t="e">
        <f>IF(AND([5]Reliability!D115="Y",OR([5]Reliability!D121="Y",[5]Reliability!D125="Y",[5]Reliability!D129="Y")),"A",IF(AND([5]Reliability!D116="Y",OR([5]Reliability!D121="Y",[5]Reliability!D125="Y",[5]Reliability!D129="Y")),"B","D"))</f>
        <v>#REF!</v>
      </c>
      <c r="F158" s="138" t="e">
        <f>IF(AND([5]Reliability!E115="Y",OR([5]Reliability!E121="Y",[5]Reliability!E125="Y",[5]Reliability!E129="Y")),"A",IF(AND([5]Reliability!E116="Y",OR([5]Reliability!E121="Y",[5]Reliability!E125="Y",[5]Reliability!E129="Y")),"B","D"))</f>
        <v>#REF!</v>
      </c>
      <c r="G158" s="138" t="e">
        <f>IF(AND([5]Reliability!F115="Y",OR([5]Reliability!F121="Y",[5]Reliability!F125="Y",[5]Reliability!F129="Y")),"A",IF(AND([5]Reliability!F116="Y",OR([5]Reliability!F121="Y",[5]Reliability!F125="Y",[5]Reliability!F129="Y")),"B","D"))</f>
        <v>#REF!</v>
      </c>
      <c r="H158" s="138" t="e">
        <f>IF(AND([5]Reliability!G115="Y",OR([5]Reliability!G121="Y",[5]Reliability!G125="Y",[5]Reliability!G129="Y")),"A",IF(AND([5]Reliability!G116="Y",OR([5]Reliability!G121="Y",[5]Reliability!G125="Y",[5]Reliability!G129="Y")),"B","D"))</f>
        <v>#REF!</v>
      </c>
    </row>
    <row r="159" spans="1:8">
      <c r="A159" s="89">
        <f t="shared" si="1"/>
        <v>3</v>
      </c>
      <c r="B159" s="96" t="s">
        <v>166</v>
      </c>
      <c r="C159" s="97"/>
      <c r="D159" s="137"/>
      <c r="E159" s="138" t="e">
        <f>IF(AND([5]Reliability!D117="Y",swm!E58&gt;0,OR([5]Reliability!D133="Y",[5]Reliability!D134="Y",[5]Reliability!D135="Y",[5]Reliability!D136="Y",[5]Reliability!D137="Y",[5]Reliability!D138="Y")),"A",IF([5]Reliability!D119="Y","B",IF([5]Reliability!D118="Y","C","D")))</f>
        <v>#REF!</v>
      </c>
      <c r="F159" s="138" t="e">
        <f>IF(AND([5]Reliability!E117="Y",swm!F58&gt;0,OR([5]Reliability!E133="Y",[5]Reliability!E134="Y",[5]Reliability!E135="Y",[5]Reliability!E136="Y",[5]Reliability!E137="Y",[5]Reliability!E138="Y")),"A",IF([5]Reliability!E119="Y","B",IF([5]Reliability!E118="Y","C","D")))</f>
        <v>#REF!</v>
      </c>
      <c r="G159" s="138" t="e">
        <f>IF(AND([5]Reliability!F117="Y",swm!G58&gt;0,OR([5]Reliability!F133="Y",[5]Reliability!F134="Y",[5]Reliability!F135="Y",[5]Reliability!F136="Y",[5]Reliability!F137="Y",[5]Reliability!F138="Y")),"A",IF([5]Reliability!F119="Y","B",IF([5]Reliability!F118="Y","C","D")))</f>
        <v>#REF!</v>
      </c>
      <c r="H159" s="138" t="e">
        <f>IF(AND([5]Reliability!G117="Y",swm!H58&gt;0,OR([5]Reliability!G133="Y",[5]Reliability!G134="Y",[5]Reliability!G135="Y",[5]Reliability!G136="Y",[5]Reliability!G137="Y",[5]Reliability!G138="Y")),"A",IF([5]Reliability!G119="Y","B",IF([5]Reliability!G118="Y","C","D")))</f>
        <v>#REF!</v>
      </c>
    </row>
    <row r="160" spans="1:8">
      <c r="A160" s="89">
        <f t="shared" si="1"/>
        <v>4</v>
      </c>
      <c r="B160" s="96" t="s">
        <v>101</v>
      </c>
      <c r="C160" s="97"/>
      <c r="D160" s="137"/>
      <c r="E160" s="138" t="e">
        <f>IF(AND([5]Reliability!D121="Y",swm!E58&gt;0,OR([5]Reliability!D133="Y",[5]Reliability!D134="Y",[5]Reliability!D135="Y",[5]Reliability!D136="Y",[5]Reliability!D137="Y",[5]Reliability!D138="Y")),"A",IF([5]Reliability!D121="Y","B",IF([5]Reliability!D131="Y","C","D")))</f>
        <v>#REF!</v>
      </c>
      <c r="F160" s="138" t="e">
        <f>IF(AND([5]Reliability!E121="Y",swm!F58&gt;0,OR([5]Reliability!E133="Y",[5]Reliability!E134="Y",[5]Reliability!E135="Y",[5]Reliability!E136="Y",[5]Reliability!E137="Y",[5]Reliability!E138="Y")),"A",IF([5]Reliability!E121="Y","B",IF([5]Reliability!E131="Y","C","D")))</f>
        <v>#REF!</v>
      </c>
      <c r="G160" s="138" t="e">
        <f>IF(AND([5]Reliability!F121="Y",swm!G58&gt;0,OR([5]Reliability!F133="Y",[5]Reliability!F134="Y",[5]Reliability!F135="Y",[5]Reliability!F136="Y",[5]Reliability!F137="Y",[5]Reliability!F138="Y")),"A",IF([5]Reliability!F121="Y","B",IF([5]Reliability!F131="Y","C","D")))</f>
        <v>#REF!</v>
      </c>
      <c r="H160" s="138" t="e">
        <f>IF(AND([5]Reliability!G121="Y",swm!H58&gt;0,OR([5]Reliability!G133="Y",[5]Reliability!G134="Y",[5]Reliability!G135="Y",[5]Reliability!G136="Y",[5]Reliability!G137="Y",[5]Reliability!G138="Y")),"A",IF([5]Reliability!G121="Y","B",IF([5]Reliability!G131="Y","C","D")))</f>
        <v>#REF!</v>
      </c>
    </row>
    <row r="161" spans="1:8">
      <c r="A161" s="89">
        <f t="shared" si="1"/>
        <v>5</v>
      </c>
      <c r="B161" s="96" t="s">
        <v>109</v>
      </c>
      <c r="C161" s="97"/>
      <c r="D161" s="137"/>
      <c r="E161" s="138" t="e">
        <f>IF(AND([5]Reliability!D125="Y",OR([5]Reliability!D135="Y",[5]Reliability!D136="Y")),"A",IF([5]Reliability!D136="Y","B",IF([5]Reliability!D127="Y","C","D")))</f>
        <v>#REF!</v>
      </c>
      <c r="F161" s="138" t="e">
        <f>IF(AND([5]Reliability!E125="Y",OR([5]Reliability!E135="Y",[5]Reliability!E136="Y")),"A",IF([5]Reliability!E136="Y","B",IF([5]Reliability!E127="Y","C","D")))</f>
        <v>#REF!</v>
      </c>
      <c r="G161" s="138" t="e">
        <f>IF(AND([5]Reliability!F125="Y",OR([5]Reliability!F135="Y",[5]Reliability!F136="Y")),"A",IF([5]Reliability!F136="Y","B",IF([5]Reliability!F127="Y","C","D")))</f>
        <v>#REF!</v>
      </c>
      <c r="H161" s="138" t="e">
        <f>IF(AND([5]Reliability!G125="Y",OR([5]Reliability!G135="Y",[5]Reliability!G136="Y")),"A",IF([5]Reliability!G136="Y","B",IF([5]Reliability!G127="Y","C","D")))</f>
        <v>#REF!</v>
      </c>
    </row>
    <row r="162" spans="1:8">
      <c r="A162" s="89">
        <f t="shared" si="1"/>
        <v>6</v>
      </c>
      <c r="B162" s="96" t="s">
        <v>708</v>
      </c>
      <c r="C162" s="97"/>
      <c r="D162" s="137"/>
      <c r="E162" s="138" t="e">
        <f>IF(AND([5]Reliability!D140="Y",[5]Reliability!D147="Y",[5]Reliability!D149="Y",[5]Reliability!D159="Y"),"A",IF(AND([5]Reliability!D140="Y",[5]Reliability!D147="Y",[5]Reliability!D149="Y"),"B","D"))</f>
        <v>#REF!</v>
      </c>
      <c r="F162" s="138" t="e">
        <f>IF(AND([5]Reliability!E140="Y",[5]Reliability!E147="Y",[5]Reliability!E149="Y",[5]Reliability!E159="Y"),"A",IF(AND([5]Reliability!E140="Y",[5]Reliability!E147="Y",[5]Reliability!E149="Y"),"B","D"))</f>
        <v>#REF!</v>
      </c>
      <c r="G162" s="138" t="e">
        <f>IF(AND([5]Reliability!F140="Y",[5]Reliability!F147="Y",[5]Reliability!F149="Y",[5]Reliability!F159="Y"),"A",IF(AND([5]Reliability!F140="Y",[5]Reliability!F147="Y",[5]Reliability!F149="Y"),"B","D"))</f>
        <v>#REF!</v>
      </c>
      <c r="H162" s="138" t="e">
        <f>IF(AND([5]Reliability!G140="Y",[5]Reliability!G147="Y",[5]Reliability!G149="Y",[5]Reliability!G159="Y"),"A",IF(AND([5]Reliability!G140="Y",[5]Reliability!G147="Y",[5]Reliability!G149="Y"),"B","D"))</f>
        <v>#REF!</v>
      </c>
    </row>
    <row r="163" spans="1:8">
      <c r="A163" s="89">
        <f t="shared" si="1"/>
        <v>7</v>
      </c>
      <c r="B163" s="96" t="s">
        <v>709</v>
      </c>
      <c r="C163" s="97"/>
      <c r="D163" s="137"/>
      <c r="E163" s="138" t="e">
        <f>IF(AND([5]Reliability!D141="Y",[5]Reliability!D149="Y",[5]Reliability!D154="Y"),"A",IF(AND([5]Reliability!D141="Y",[5]Reliability!D149="Y"),"B","D"))</f>
        <v>#REF!</v>
      </c>
      <c r="F163" s="138" t="e">
        <f>IF(AND([5]Reliability!E141="Y",[5]Reliability!E149="Y",[5]Reliability!E154="Y"),"A",IF(AND([5]Reliability!E141="Y",[5]Reliability!E149="Y"),"B","D"))</f>
        <v>#REF!</v>
      </c>
      <c r="G163" s="138" t="e">
        <f>IF(AND([5]Reliability!F141="Y",[5]Reliability!F149="Y",[5]Reliability!F154="Y"),"A",IF(AND([5]Reliability!F141="Y",[5]Reliability!F149="Y"),"B","D"))</f>
        <v>#REF!</v>
      </c>
      <c r="H163" s="138" t="e">
        <f>IF(AND([5]Reliability!G141="Y",[5]Reliability!G149="Y",[5]Reliability!G154="Y"),"A",IF(AND([5]Reliability!G141="Y",[5]Reliability!G149="Y"),"B","D"))</f>
        <v>#REF!</v>
      </c>
    </row>
    <row r="164" spans="1:8">
      <c r="A164" s="89">
        <f t="shared" si="1"/>
        <v>8</v>
      </c>
      <c r="B164" s="96" t="s">
        <v>32</v>
      </c>
      <c r="C164" s="97"/>
      <c r="D164" s="137"/>
      <c r="E164" s="138" t="e">
        <f>IF(AND([5]Reliability!D165="Y",OR([5]Reliability!D171="Y",[5]Reliability!D172="Y"),[5]Reliability!D176="Y",[5]Reliability!D180="Y"),"A",IF(AND([5]Reliability!D165="Y",[5]Reliability!D180="Y"),"B",IF([5]Reliability!D165="Y","C","D")))</f>
        <v>#REF!</v>
      </c>
      <c r="F164" s="138" t="e">
        <f>IF(AND([5]Reliability!E165="Y",OR([5]Reliability!E171="Y",[5]Reliability!E172="Y"),[5]Reliability!E176="Y",[5]Reliability!E180="Y"),"A",IF(AND([5]Reliability!E165="Y",[5]Reliability!E180="Y"),"B",IF([5]Reliability!E165="Y","C","D")))</f>
        <v>#REF!</v>
      </c>
      <c r="G164" s="138" t="e">
        <f>IF(AND([5]Reliability!F165="Y",OR([5]Reliability!F171="Y",[5]Reliability!F172="Y"),[5]Reliability!F176="Y",[5]Reliability!F180="Y"),"A",IF(AND([5]Reliability!F165="Y",[5]Reliability!F180="Y"),"B",IF([5]Reliability!F165="Y","C","D")))</f>
        <v>#REF!</v>
      </c>
      <c r="H164" s="138" t="e">
        <f>IF(AND([5]Reliability!G165="Y",OR([5]Reliability!G171="Y",[5]Reliability!G172="Y"),[5]Reliability!G176="Y",[5]Reliability!G180="Y"),"A",IF(AND([5]Reliability!G165="Y",[5]Reliability!G180="Y"),"B",IF([5]Reliability!G165="Y","C","D")))</f>
        <v>#REF!</v>
      </c>
    </row>
    <row r="166" spans="1:8">
      <c r="A166" s="165" t="s">
        <v>256</v>
      </c>
      <c r="B166" s="87" t="s">
        <v>455</v>
      </c>
      <c r="C166" s="88" t="s">
        <v>258</v>
      </c>
      <c r="D166" s="272" t="str">
        <f>'General Info'!D4</f>
        <v>FY 2008-2009</v>
      </c>
      <c r="E166" s="272" t="str">
        <f>'General Info'!E4</f>
        <v>FY 2009-2010</v>
      </c>
      <c r="F166" s="272" t="str">
        <f>'General Info'!F4</f>
        <v>FY 2010-2011</v>
      </c>
      <c r="G166" s="272" t="str">
        <f>'General Info'!G4</f>
        <v>FY 2011-2012</v>
      </c>
      <c r="H166" s="272" t="str">
        <f>'General Info'!H4</f>
        <v>FY 2012-2013</v>
      </c>
    </row>
    <row r="167" spans="1:8">
      <c r="A167" s="166">
        <v>1</v>
      </c>
      <c r="B167" s="167" t="s">
        <v>711</v>
      </c>
      <c r="C167" s="175" t="s">
        <v>477</v>
      </c>
      <c r="D167" s="168">
        <f>IF(OR('Equity Related Information'!D170="na",'Equity Related Information'!D171="na"),"na",IF(OR('Equity Related Information'!D170="nd",'Equity Related Information'!D171="nd"),"nd",'Equity Related Information'!D170/'Equity Related Information'!D171))</f>
        <v>4.0259740259740262</v>
      </c>
      <c r="E167" s="168">
        <f>IF(OR('Equity Related Information'!E170="na",'Equity Related Information'!E171="na"),"na",IF(OR('Equity Related Information'!E170="nd",'Equity Related Information'!E171="nd"),"nd",'Equity Related Information'!E170/'Equity Related Information'!E171))</f>
        <v>4</v>
      </c>
      <c r="F167" s="168">
        <f>IF(OR('Equity Related Information'!F170="na",'Equity Related Information'!F171="na"),"na",IF(OR('Equity Related Information'!F170="nd",'Equity Related Information'!F171="nd"),"nd",'Equity Related Information'!F170/'Equity Related Information'!F171))</f>
        <v>4</v>
      </c>
      <c r="G167" s="168">
        <f>IF(OR('Equity Related Information'!G170="na",'Equity Related Information'!G171="na"),"na",IF(OR('Equity Related Information'!G170="nd",'Equity Related Information'!G171="nd"),"nd",'Equity Related Information'!G170/'Equity Related Information'!G171))</f>
        <v>4.2333333333333334</v>
      </c>
      <c r="H167" s="168">
        <f>IF(OR('Equity Related Information'!H170="na",'Equity Related Information'!H171="na"),"na",IF(OR('Equity Related Information'!H170="nd",'Equity Related Information'!H171="nd"),"nd",'Equity Related Information'!H170/'Equity Related Information'!H171))</f>
        <v>3.736842105263158</v>
      </c>
    </row>
    <row r="168" spans="1:8">
      <c r="A168" s="166">
        <v>2</v>
      </c>
      <c r="B168" s="167" t="s">
        <v>712</v>
      </c>
      <c r="C168" s="175" t="s">
        <v>469</v>
      </c>
      <c r="D168" s="168">
        <f>IF('Equity Related Information'!D174="nd","nd",'Equity Related Information'!D174)</f>
        <v>0</v>
      </c>
      <c r="E168" s="168">
        <f>IF('Equity Related Information'!E174="nd","nd",'Equity Related Information'!E174)</f>
        <v>12</v>
      </c>
      <c r="F168" s="168">
        <f>IF('Equity Related Information'!F174="nd","nd",'Equity Related Information'!F174)</f>
        <v>12</v>
      </c>
      <c r="G168" s="168">
        <f>IF('Equity Related Information'!G174="nd","nd",'Equity Related Information'!G174)</f>
        <v>12</v>
      </c>
      <c r="H168" s="168">
        <f>IF('Equity Related Information'!H174="nd","nd",'Equity Related Information'!H174)</f>
        <v>2</v>
      </c>
    </row>
    <row r="169" spans="1:8">
      <c r="A169" s="166">
        <v>3</v>
      </c>
      <c r="B169" s="167" t="s">
        <v>713</v>
      </c>
      <c r="C169" s="175" t="s">
        <v>268</v>
      </c>
      <c r="D169" s="168">
        <f>IF(D72="na","na",IF(OR(D72="nd",D23="nd"),"nd",D72/D23*100))</f>
        <v>0</v>
      </c>
      <c r="E169" s="168">
        <f>IF(E72="na","na",IF(OR(E72="nd",E23="nd"),"nd",E72/E23*100))</f>
        <v>0</v>
      </c>
      <c r="F169" s="168">
        <f>IF(F72="na","na",IF(OR(F72="nd",F23="nd"),"nd",F72/F23*100))</f>
        <v>0</v>
      </c>
      <c r="G169" s="168" t="str">
        <f>IF(G72="na","na",IF(OR(G72="nd",G23="nd"),"nd",G72/G23*100))</f>
        <v>na</v>
      </c>
      <c r="H169" s="168">
        <f>IF(H72="na","na",IF(OR(H72="nd",H23="nd"),"nd",H72/H23*100))</f>
        <v>52.631578947368418</v>
      </c>
    </row>
    <row r="170" spans="1:8">
      <c r="A170" s="166">
        <v>4</v>
      </c>
      <c r="B170" s="167" t="s">
        <v>714</v>
      </c>
      <c r="C170" s="175" t="s">
        <v>268</v>
      </c>
      <c r="D170" s="168" t="e">
        <f>IF(OR(D73="na",D72="na"),"na",IF(OR(D73="nd",D72="nd"),"nd",D73/D72*100))</f>
        <v>#DIV/0!</v>
      </c>
      <c r="E170" s="168" t="e">
        <f>IF(OR(E73="na",E72="na"),"na",IF(OR(E73="nd",E72="nd"),"nd",E73/E72*100))</f>
        <v>#DIV/0!</v>
      </c>
      <c r="F170" s="168" t="e">
        <f>IF(OR(F73="na",F72="na"),"na",IF(OR(F73="nd",F72="nd"),"nd",F73/F72*100))</f>
        <v>#DIV/0!</v>
      </c>
      <c r="G170" s="168" t="str">
        <f>IF(OR(G73="na",G72="na"),"na",IF(OR(G73="nd",G72="nd"),"nd",G73/G72*100))</f>
        <v>na</v>
      </c>
      <c r="H170" s="168">
        <f>IF(OR(H73="na",H72="na"),"na",IF(OR(H73="nd",H72="nd"),"nd",H73/H72*100))</f>
        <v>100</v>
      </c>
    </row>
    <row r="171" spans="1:8">
      <c r="A171" s="166">
        <v>5</v>
      </c>
      <c r="B171" s="167" t="s">
        <v>715</v>
      </c>
      <c r="C171" s="175" t="s">
        <v>459</v>
      </c>
      <c r="D171" s="168" t="str">
        <f>IF(OR('Equity Related Information'!D176="Y",'Equity Related Information'!D177="Y"),"Y","N")</f>
        <v>N</v>
      </c>
      <c r="E171" s="168" t="str">
        <f>IF(OR('Equity Related Information'!E176="Y",'Equity Related Information'!E177="Y"),"Y","N")</f>
        <v>N</v>
      </c>
      <c r="F171" s="168" t="str">
        <f>IF(OR('Equity Related Information'!H176="Y",'Equity Related Information'!H177="Y"),"Y","N")</f>
        <v>N</v>
      </c>
      <c r="G171" s="168" t="str">
        <f>IF(OR('Equity Related Information'!I176="Y",'Equity Related Information'!I177="Y"),"Y","N")</f>
        <v>N</v>
      </c>
      <c r="H171" s="168" t="str">
        <f>IF(OR('Equity Related Information'!J176="Y",'Equity Related Information'!J177="Y"),"Y","N")</f>
        <v>N</v>
      </c>
    </row>
    <row r="172" spans="1:8">
      <c r="A172" s="166">
        <v>6</v>
      </c>
      <c r="B172" s="167" t="s">
        <v>716</v>
      </c>
      <c r="C172" s="175" t="s">
        <v>459</v>
      </c>
      <c r="D172" s="168" t="str">
        <f>IF(OR('Equity Related Information'!D178="Y",'Equity Related Information'!D179="Y"),"Y","N")</f>
        <v>N</v>
      </c>
      <c r="E172" s="168" t="str">
        <f>IF(OR('Equity Related Information'!E178="Y",'Equity Related Information'!E179="Y"),"Y","N")</f>
        <v>N</v>
      </c>
      <c r="F172" s="168" t="str">
        <f>IF(OR('Equity Related Information'!H178="Y",'Equity Related Information'!H179="Y"),"Y","N")</f>
        <v>N</v>
      </c>
      <c r="G172" s="168" t="str">
        <f>IF(OR('Equity Related Information'!I178="Y",'Equity Related Information'!I179="Y"),"Y","N")</f>
        <v>N</v>
      </c>
      <c r="H172" s="168" t="str">
        <f>IF(OR('Equity Related Information'!J178="Y",'Equity Related Information'!J179="Y"),"Y","N")</f>
        <v>N</v>
      </c>
    </row>
    <row r="173" spans="1:8">
      <c r="A173" s="166">
        <v>7</v>
      </c>
      <c r="B173" s="167" t="s">
        <v>717</v>
      </c>
      <c r="C173" s="175" t="s">
        <v>718</v>
      </c>
      <c r="D173" s="168">
        <f>IF(D27="nd",IF(OR(D97="nd",D53="nd"),"nd",(D97*30*10^5)/(365*D53)),(D97*30*10^5)/(365*D27))</f>
        <v>40339.726027397264</v>
      </c>
      <c r="E173" s="168">
        <f>IF(E27="nd",IF(OR(E97="nd",E53="nd"),"nd",(E97*30*10^5)/(365*E53)),(E97*30*10^5)/(365*E27))</f>
        <v>1464.1070315372201</v>
      </c>
      <c r="F173" s="168">
        <f>IF(F27="nd",IF(OR(F97="nd",F53="nd"),"nd",(F97*30*10^5)/(365*F53)),(F97*30*10^5)/(365*F27))</f>
        <v>1791.9150908713095</v>
      </c>
      <c r="G173" s="168">
        <f>IF(G27="nd",IF(OR(G97="nd",G53="nd"),"nd",(G97*30*10^5)/(365*G53)),(G97*30*10^5)/(365*G27))</f>
        <v>2277.1689497716893</v>
      </c>
      <c r="H173" s="168">
        <f>IF(H27="nd",IF(OR(H97="nd",H53="nd"),"nd",(H97*30*10^5)/(365*H53)),(H97*30*10^5)/(365*H27))</f>
        <v>2277.1689497716893</v>
      </c>
    </row>
    <row r="174" spans="1:8">
      <c r="A174" s="166">
        <v>8</v>
      </c>
      <c r="B174" s="167" t="s">
        <v>719</v>
      </c>
      <c r="C174" s="175" t="s">
        <v>268</v>
      </c>
      <c r="D174" s="168" t="e">
        <f>IF(OR(D131="na",D132="na"),"na",IF(OR(D132="nd",D131="nd"),"nd",D132/D131*100))</f>
        <v>#DIV/0!</v>
      </c>
      <c r="E174" s="168">
        <f>IF(OR(E131="na",E132="na"),"na",IF(OR(E132="nd",E131="nd"),"nd",E132/E131*100))</f>
        <v>163.52941176470588</v>
      </c>
      <c r="F174" s="168">
        <f>IF(OR(F131="na",F132="na"),"na",IF(OR(F132="nd",F131="nd"),"nd",F132/F131*100))</f>
        <v>163.52941176470588</v>
      </c>
      <c r="G174" s="168">
        <f>IF(OR(G131="na",G132="na"),"na",IF(OR(G132="nd",G131="nd"),"nd",G132/G131*100))</f>
        <v>161.05263157894737</v>
      </c>
      <c r="H174" s="168">
        <f>IF(OR(H131="na",H132="na"),"na",IF(OR(H132="nd",H131="nd"),"nd",H132/H131*100))</f>
        <v>177.65957446808511</v>
      </c>
    </row>
    <row r="175" spans="1:8">
      <c r="A175" s="166">
        <v>9</v>
      </c>
      <c r="B175" s="167" t="s">
        <v>720</v>
      </c>
      <c r="C175" s="175" t="s">
        <v>477</v>
      </c>
      <c r="D175" s="168">
        <f>IF(D132="na","na",IF(OR(D132="nd",D12="nd"),"nd",D132/(D12/1000)))</f>
        <v>0</v>
      </c>
      <c r="E175" s="168">
        <f>IF(E132="na","na",IF(OR(E132="nd",E12="nd"),"nd",E132/(E12/1000)))</f>
        <v>8.893723206859045</v>
      </c>
      <c r="F175" s="168">
        <f>IF(F132="na","na",IF(OR(F132="nd",F12="nd"),"nd",F132/(F12/1000)))</f>
        <v>8.685871399112667</v>
      </c>
      <c r="G175" s="168">
        <f>IF(G132="na","na",IF(OR(G132="nd",G12="nd"),"nd",G132/(G12/1000)))</f>
        <v>6.4885496183206115</v>
      </c>
      <c r="H175" s="168">
        <f>IF(H132="na","na",IF(OR(H132="nd",H12="nd"),"nd",H132/(H12/1000)))</f>
        <v>6.4481254102475001</v>
      </c>
    </row>
    <row r="176" spans="1:8">
      <c r="A176" s="166">
        <v>10</v>
      </c>
      <c r="B176" s="167" t="s">
        <v>721</v>
      </c>
      <c r="C176" s="175" t="s">
        <v>435</v>
      </c>
      <c r="D176" s="168">
        <f>IF(D114="na","na",IF(OR(D114="nd",D12="nd"),"nd",D114*10^5/D12))</f>
        <v>62.343261912094682</v>
      </c>
      <c r="E176" s="168">
        <f>IF(E114="na","na",IF(OR(E114="nd",E12="nd"),"nd",E114*10^5/E12))</f>
        <v>115.93831979013373</v>
      </c>
      <c r="F176" s="168">
        <f>IF(F114="na","na",IF(OR(F114="nd",F12="nd"),"nd",F114*10^5/F12))</f>
        <v>187.02743235643317</v>
      </c>
      <c r="G176" s="168">
        <f>IF(G114="na","na",IF(OR(G114="nd",G12="nd"),"nd",G114*10^5/G12))</f>
        <v>107.03986429177269</v>
      </c>
      <c r="H176" s="168">
        <f>IF(H114="na","na",IF(OR(H114="nd",H12="nd"),"nd",H114*10^5/H12))</f>
        <v>97.455500212363418</v>
      </c>
    </row>
    <row r="177" spans="1:8">
      <c r="A177" s="166">
        <v>11</v>
      </c>
      <c r="B177" s="167" t="s">
        <v>722</v>
      </c>
      <c r="C177" s="175" t="s">
        <v>477</v>
      </c>
      <c r="D177" s="168">
        <f>IF(D85="na","na",IF(OR(D85="nd",D12="nd"),"nd",D85/(D12/1000)))</f>
        <v>10.559197500989924</v>
      </c>
      <c r="E177" s="168">
        <f>IF(E85="na","na",IF(OR(E85="nd",E12="nd"),"nd",E85/(E12/1000)))</f>
        <v>7.6780344231876638</v>
      </c>
      <c r="F177" s="168">
        <f>IF(F85="na","na",IF(OR(F85="nd",F12="nd"),"nd",F85/(F12/1000)))</f>
        <v>5.6239455102168341</v>
      </c>
      <c r="G177" s="168">
        <f>IF(G85="na","na",IF(OR(G85="nd",G12="nd"),"nd",G85/(G12/1000)))</f>
        <v>9.8812553011026303</v>
      </c>
      <c r="H177" s="168">
        <f>IF(H85="na","na",IF(OR(H85="nd",H12="nd"),"nd",H85/(H12/1000)))</f>
        <v>9.3439901154484719</v>
      </c>
    </row>
    <row r="178" spans="1:8">
      <c r="A178" s="166">
        <v>12</v>
      </c>
      <c r="B178" s="167" t="s">
        <v>496</v>
      </c>
      <c r="C178" s="175" t="s">
        <v>268</v>
      </c>
      <c r="D178" s="168">
        <f>IF(OR(D100="nd",D108="nd"),"nd",D100/SUM(D100,D108)*100)</f>
        <v>39.7221700769664</v>
      </c>
      <c r="E178" s="168">
        <f>IF(OR(E100="nd",E108="nd"),"nd",E100/SUM(E100,E108)*100)</f>
        <v>34.609465178914959</v>
      </c>
      <c r="F178" s="168">
        <f>IF(OR(F100="nd",F108="nd"),"nd",F100/SUM(F100,F108)*100)</f>
        <v>39.744710613743663</v>
      </c>
      <c r="G178" s="168">
        <f>IF(OR(G100="nd",G108="nd"),"nd",G100/SUM(G100,G108)*100)</f>
        <v>31.987167390073601</v>
      </c>
      <c r="H178" s="168">
        <f>IF(OR(H100="nd",H108="nd"),"nd",H100/SUM(H100,H108)*100)</f>
        <v>31.987167390073601</v>
      </c>
    </row>
  </sheetData>
  <mergeCells count="9">
    <mergeCell ref="A98:E98"/>
    <mergeCell ref="A115:E115"/>
    <mergeCell ref="A116:E116"/>
    <mergeCell ref="A1:H1"/>
    <mergeCell ref="A2:E2"/>
    <mergeCell ref="A3:H3"/>
    <mergeCell ref="A59:E59"/>
    <mergeCell ref="A82:E82"/>
    <mergeCell ref="A87:E87"/>
  </mergeCells>
  <pageMargins left="0.7" right="0.7" top="0.75" bottom="0.75" header="0.51180555555555551" footer="0.51180555555555551"/>
  <pageSetup scale="57" firstPageNumber="0" orientation="portrait" horizontalDpi="300" verticalDpi="300"/>
  <headerFooter alignWithMargins="0"/>
  <rowBreaks count="3" manualBreakCount="3">
    <brk id="59" max="16383" man="1"/>
    <brk id="115" max="16383" man="1"/>
    <brk id="145" max="16383" man="1"/>
  </rowBreaks>
</worksheet>
</file>

<file path=xl/worksheets/sheet8.xml><?xml version="1.0" encoding="utf-8"?>
<worksheet xmlns="http://schemas.openxmlformats.org/spreadsheetml/2006/main" xmlns:r="http://schemas.openxmlformats.org/officeDocument/2006/relationships">
  <dimension ref="A1:IV259"/>
  <sheetViews>
    <sheetView topLeftCell="A15" workbookViewId="0">
      <selection activeCell="B195" sqref="B195"/>
    </sheetView>
  </sheetViews>
  <sheetFormatPr defaultRowHeight="15"/>
  <cols>
    <col min="1" max="1" width="9.140625" style="20" bestFit="1" customWidth="1"/>
    <col min="2" max="2" width="82.140625" style="20" bestFit="1" customWidth="1"/>
    <col min="3" max="3" width="12.28515625" style="20" bestFit="1" customWidth="1"/>
    <col min="4" max="8" width="11.140625" style="20" bestFit="1" customWidth="1"/>
    <col min="9" max="256" width="9.140625" style="20" bestFit="1" customWidth="1"/>
    <col min="257" max="257" width="9.140625" style="49" bestFit="1" customWidth="1"/>
    <col min="258" max="258" width="82.140625" style="49" bestFit="1" customWidth="1"/>
    <col min="259" max="259" width="12.28515625" style="49" bestFit="1" customWidth="1"/>
    <col min="260" max="264" width="11.140625" style="49" bestFit="1" customWidth="1"/>
    <col min="265" max="513" width="9.140625" style="49" bestFit="1" customWidth="1"/>
    <col min="514" max="514" width="82.140625" style="49" bestFit="1" customWidth="1"/>
    <col min="515" max="515" width="12.28515625" style="49" bestFit="1" customWidth="1"/>
    <col min="516" max="520" width="11.140625" style="49" bestFit="1" customWidth="1"/>
    <col min="521" max="769" width="9.140625" style="49" bestFit="1" customWidth="1"/>
    <col min="770" max="770" width="82.140625" style="49" bestFit="1" customWidth="1"/>
    <col min="771" max="771" width="12.28515625" style="49" bestFit="1" customWidth="1"/>
    <col min="772" max="776" width="11.140625" style="49" bestFit="1" customWidth="1"/>
    <col min="777" max="1025" width="9.140625" style="49" bestFit="1" customWidth="1"/>
    <col min="1026" max="1026" width="82.140625" style="49" bestFit="1" customWidth="1"/>
    <col min="1027" max="1027" width="12.28515625" style="49" bestFit="1" customWidth="1"/>
    <col min="1028" max="1032" width="11.140625" style="49" bestFit="1" customWidth="1"/>
    <col min="1033" max="1281" width="9.140625" style="49" bestFit="1" customWidth="1"/>
    <col min="1282" max="1282" width="82.140625" style="49" bestFit="1" customWidth="1"/>
    <col min="1283" max="1283" width="12.28515625" style="49" bestFit="1" customWidth="1"/>
    <col min="1284" max="1288" width="11.140625" style="49" bestFit="1" customWidth="1"/>
    <col min="1289" max="1537" width="9.140625" style="49" bestFit="1" customWidth="1"/>
    <col min="1538" max="1538" width="82.140625" style="49" bestFit="1" customWidth="1"/>
    <col min="1539" max="1539" width="12.28515625" style="49" bestFit="1" customWidth="1"/>
    <col min="1540" max="1544" width="11.140625" style="49" bestFit="1" customWidth="1"/>
    <col min="1545" max="1793" width="9.140625" style="49" bestFit="1" customWidth="1"/>
    <col min="1794" max="1794" width="82.140625" style="49" bestFit="1" customWidth="1"/>
    <col min="1795" max="1795" width="12.28515625" style="49" bestFit="1" customWidth="1"/>
    <col min="1796" max="1800" width="11.140625" style="49" bestFit="1" customWidth="1"/>
    <col min="1801" max="2049" width="9.140625" style="49" bestFit="1" customWidth="1"/>
    <col min="2050" max="2050" width="82.140625" style="49" bestFit="1" customWidth="1"/>
    <col min="2051" max="2051" width="12.28515625" style="49" bestFit="1" customWidth="1"/>
    <col min="2052" max="2056" width="11.140625" style="49" bestFit="1" customWidth="1"/>
    <col min="2057" max="2305" width="9.140625" style="49" bestFit="1" customWidth="1"/>
    <col min="2306" max="2306" width="82.140625" style="49" bestFit="1" customWidth="1"/>
    <col min="2307" max="2307" width="12.28515625" style="49" bestFit="1" customWidth="1"/>
    <col min="2308" max="2312" width="11.140625" style="49" bestFit="1" customWidth="1"/>
    <col min="2313" max="2561" width="9.140625" style="49" bestFit="1" customWidth="1"/>
    <col min="2562" max="2562" width="82.140625" style="49" bestFit="1" customWidth="1"/>
    <col min="2563" max="2563" width="12.28515625" style="49" bestFit="1" customWidth="1"/>
    <col min="2564" max="2568" width="11.140625" style="49" bestFit="1" customWidth="1"/>
    <col min="2569" max="2817" width="9.140625" style="49" bestFit="1" customWidth="1"/>
    <col min="2818" max="2818" width="82.140625" style="49" bestFit="1" customWidth="1"/>
    <col min="2819" max="2819" width="12.28515625" style="49" bestFit="1" customWidth="1"/>
    <col min="2820" max="2824" width="11.140625" style="49" bestFit="1" customWidth="1"/>
    <col min="2825" max="3073" width="9.140625" style="49" bestFit="1" customWidth="1"/>
    <col min="3074" max="3074" width="82.140625" style="49" bestFit="1" customWidth="1"/>
    <col min="3075" max="3075" width="12.28515625" style="49" bestFit="1" customWidth="1"/>
    <col min="3076" max="3080" width="11.140625" style="49" bestFit="1" customWidth="1"/>
    <col min="3081" max="3329" width="9.140625" style="49" bestFit="1" customWidth="1"/>
    <col min="3330" max="3330" width="82.140625" style="49" bestFit="1" customWidth="1"/>
    <col min="3331" max="3331" width="12.28515625" style="49" bestFit="1" customWidth="1"/>
    <col min="3332" max="3336" width="11.140625" style="49" bestFit="1" customWidth="1"/>
    <col min="3337" max="3585" width="9.140625" style="49" bestFit="1" customWidth="1"/>
    <col min="3586" max="3586" width="82.140625" style="49" bestFit="1" customWidth="1"/>
    <col min="3587" max="3587" width="12.28515625" style="49" bestFit="1" customWidth="1"/>
    <col min="3588" max="3592" width="11.140625" style="49" bestFit="1" customWidth="1"/>
    <col min="3593" max="3841" width="9.140625" style="49" bestFit="1" customWidth="1"/>
    <col min="3842" max="3842" width="82.140625" style="49" bestFit="1" customWidth="1"/>
    <col min="3843" max="3843" width="12.28515625" style="49" bestFit="1" customWidth="1"/>
    <col min="3844" max="3848" width="11.140625" style="49" bestFit="1" customWidth="1"/>
    <col min="3849" max="4097" width="9.140625" style="49" bestFit="1" customWidth="1"/>
    <col min="4098" max="4098" width="82.140625" style="49" bestFit="1" customWidth="1"/>
    <col min="4099" max="4099" width="12.28515625" style="49" bestFit="1" customWidth="1"/>
    <col min="4100" max="4104" width="11.140625" style="49" bestFit="1" customWidth="1"/>
    <col min="4105" max="4353" width="9.140625" style="49" bestFit="1" customWidth="1"/>
    <col min="4354" max="4354" width="82.140625" style="49" bestFit="1" customWidth="1"/>
    <col min="4355" max="4355" width="12.28515625" style="49" bestFit="1" customWidth="1"/>
    <col min="4356" max="4360" width="11.140625" style="49" bestFit="1" customWidth="1"/>
    <col min="4361" max="4609" width="9.140625" style="49" bestFit="1" customWidth="1"/>
    <col min="4610" max="4610" width="82.140625" style="49" bestFit="1" customWidth="1"/>
    <col min="4611" max="4611" width="12.28515625" style="49" bestFit="1" customWidth="1"/>
    <col min="4612" max="4616" width="11.140625" style="49" bestFit="1" customWidth="1"/>
    <col min="4617" max="4865" width="9.140625" style="49" bestFit="1" customWidth="1"/>
    <col min="4866" max="4866" width="82.140625" style="49" bestFit="1" customWidth="1"/>
    <col min="4867" max="4867" width="12.28515625" style="49" bestFit="1" customWidth="1"/>
    <col min="4868" max="4872" width="11.140625" style="49" bestFit="1" customWidth="1"/>
    <col min="4873" max="5121" width="9.140625" style="49" bestFit="1" customWidth="1"/>
    <col min="5122" max="5122" width="82.140625" style="49" bestFit="1" customWidth="1"/>
    <col min="5123" max="5123" width="12.28515625" style="49" bestFit="1" customWidth="1"/>
    <col min="5124" max="5128" width="11.140625" style="49" bestFit="1" customWidth="1"/>
    <col min="5129" max="5377" width="9.140625" style="49" bestFit="1" customWidth="1"/>
    <col min="5378" max="5378" width="82.140625" style="49" bestFit="1" customWidth="1"/>
    <col min="5379" max="5379" width="12.28515625" style="49" bestFit="1" customWidth="1"/>
    <col min="5380" max="5384" width="11.140625" style="49" bestFit="1" customWidth="1"/>
    <col min="5385" max="5633" width="9.140625" style="49" bestFit="1" customWidth="1"/>
    <col min="5634" max="5634" width="82.140625" style="49" bestFit="1" customWidth="1"/>
    <col min="5635" max="5635" width="12.28515625" style="49" bestFit="1" customWidth="1"/>
    <col min="5636" max="5640" width="11.140625" style="49" bestFit="1" customWidth="1"/>
    <col min="5641" max="5889" width="9.140625" style="49" bestFit="1" customWidth="1"/>
    <col min="5890" max="5890" width="82.140625" style="49" bestFit="1" customWidth="1"/>
    <col min="5891" max="5891" width="12.28515625" style="49" bestFit="1" customWidth="1"/>
    <col min="5892" max="5896" width="11.140625" style="49" bestFit="1" customWidth="1"/>
    <col min="5897" max="6145" width="9.140625" style="49" bestFit="1" customWidth="1"/>
    <col min="6146" max="6146" width="82.140625" style="49" bestFit="1" customWidth="1"/>
    <col min="6147" max="6147" width="12.28515625" style="49" bestFit="1" customWidth="1"/>
    <col min="6148" max="6152" width="11.140625" style="49" bestFit="1" customWidth="1"/>
    <col min="6153" max="6401" width="9.140625" style="49" bestFit="1" customWidth="1"/>
    <col min="6402" max="6402" width="82.140625" style="49" bestFit="1" customWidth="1"/>
    <col min="6403" max="6403" width="12.28515625" style="49" bestFit="1" customWidth="1"/>
    <col min="6404" max="6408" width="11.140625" style="49" bestFit="1" customWidth="1"/>
    <col min="6409" max="6657" width="9.140625" style="49" bestFit="1" customWidth="1"/>
    <col min="6658" max="6658" width="82.140625" style="49" bestFit="1" customWidth="1"/>
    <col min="6659" max="6659" width="12.28515625" style="49" bestFit="1" customWidth="1"/>
    <col min="6660" max="6664" width="11.140625" style="49" bestFit="1" customWidth="1"/>
    <col min="6665" max="6913" width="9.140625" style="49" bestFit="1" customWidth="1"/>
    <col min="6914" max="6914" width="82.140625" style="49" bestFit="1" customWidth="1"/>
    <col min="6915" max="6915" width="12.28515625" style="49" bestFit="1" customWidth="1"/>
    <col min="6916" max="6920" width="11.140625" style="49" bestFit="1" customWidth="1"/>
    <col min="6921" max="7169" width="9.140625" style="49" bestFit="1" customWidth="1"/>
    <col min="7170" max="7170" width="82.140625" style="49" bestFit="1" customWidth="1"/>
    <col min="7171" max="7171" width="12.28515625" style="49" bestFit="1" customWidth="1"/>
    <col min="7172" max="7176" width="11.140625" style="49" bestFit="1" customWidth="1"/>
    <col min="7177" max="7425" width="9.140625" style="49" bestFit="1" customWidth="1"/>
    <col min="7426" max="7426" width="82.140625" style="49" bestFit="1" customWidth="1"/>
    <col min="7427" max="7427" width="12.28515625" style="49" bestFit="1" customWidth="1"/>
    <col min="7428" max="7432" width="11.140625" style="49" bestFit="1" customWidth="1"/>
    <col min="7433" max="7681" width="9.140625" style="49" bestFit="1" customWidth="1"/>
    <col min="7682" max="7682" width="82.140625" style="49" bestFit="1" customWidth="1"/>
    <col min="7683" max="7683" width="12.28515625" style="49" bestFit="1" customWidth="1"/>
    <col min="7684" max="7688" width="11.140625" style="49" bestFit="1" customWidth="1"/>
    <col min="7689" max="7937" width="9.140625" style="49" bestFit="1" customWidth="1"/>
    <col min="7938" max="7938" width="82.140625" style="49" bestFit="1" customWidth="1"/>
    <col min="7939" max="7939" width="12.28515625" style="49" bestFit="1" customWidth="1"/>
    <col min="7940" max="7944" width="11.140625" style="49" bestFit="1" customWidth="1"/>
    <col min="7945" max="8193" width="9.140625" style="49" bestFit="1" customWidth="1"/>
    <col min="8194" max="8194" width="82.140625" style="49" bestFit="1" customWidth="1"/>
    <col min="8195" max="8195" width="12.28515625" style="49" bestFit="1" customWidth="1"/>
    <col min="8196" max="8200" width="11.140625" style="49" bestFit="1" customWidth="1"/>
    <col min="8201" max="8449" width="9.140625" style="49" bestFit="1" customWidth="1"/>
    <col min="8450" max="8450" width="82.140625" style="49" bestFit="1" customWidth="1"/>
    <col min="8451" max="8451" width="12.28515625" style="49" bestFit="1" customWidth="1"/>
    <col min="8452" max="8456" width="11.140625" style="49" bestFit="1" customWidth="1"/>
    <col min="8457" max="8705" width="9.140625" style="49" bestFit="1" customWidth="1"/>
    <col min="8706" max="8706" width="82.140625" style="49" bestFit="1" customWidth="1"/>
    <col min="8707" max="8707" width="12.28515625" style="49" bestFit="1" customWidth="1"/>
    <col min="8708" max="8712" width="11.140625" style="49" bestFit="1" customWidth="1"/>
    <col min="8713" max="8961" width="9.140625" style="49" bestFit="1" customWidth="1"/>
    <col min="8962" max="8962" width="82.140625" style="49" bestFit="1" customWidth="1"/>
    <col min="8963" max="8963" width="12.28515625" style="49" bestFit="1" customWidth="1"/>
    <col min="8964" max="8968" width="11.140625" style="49" bestFit="1" customWidth="1"/>
    <col min="8969" max="9217" width="9.140625" style="49" bestFit="1" customWidth="1"/>
    <col min="9218" max="9218" width="82.140625" style="49" bestFit="1" customWidth="1"/>
    <col min="9219" max="9219" width="12.28515625" style="49" bestFit="1" customWidth="1"/>
    <col min="9220" max="9224" width="11.140625" style="49" bestFit="1" customWidth="1"/>
    <col min="9225" max="9473" width="9.140625" style="49" bestFit="1" customWidth="1"/>
    <col min="9474" max="9474" width="82.140625" style="49" bestFit="1" customWidth="1"/>
    <col min="9475" max="9475" width="12.28515625" style="49" bestFit="1" customWidth="1"/>
    <col min="9476" max="9480" width="11.140625" style="49" bestFit="1" customWidth="1"/>
    <col min="9481" max="9729" width="9.140625" style="49" bestFit="1" customWidth="1"/>
    <col min="9730" max="9730" width="82.140625" style="49" bestFit="1" customWidth="1"/>
    <col min="9731" max="9731" width="12.28515625" style="49" bestFit="1" customWidth="1"/>
    <col min="9732" max="9736" width="11.140625" style="49" bestFit="1" customWidth="1"/>
    <col min="9737" max="9985" width="9.140625" style="49" bestFit="1" customWidth="1"/>
    <col min="9986" max="9986" width="82.140625" style="49" bestFit="1" customWidth="1"/>
    <col min="9987" max="9987" width="12.28515625" style="49" bestFit="1" customWidth="1"/>
    <col min="9988" max="9992" width="11.140625" style="49" bestFit="1" customWidth="1"/>
    <col min="9993" max="10241" width="9.140625" style="49" bestFit="1" customWidth="1"/>
    <col min="10242" max="10242" width="82.140625" style="49" bestFit="1" customWidth="1"/>
    <col min="10243" max="10243" width="12.28515625" style="49" bestFit="1" customWidth="1"/>
    <col min="10244" max="10248" width="11.140625" style="49" bestFit="1" customWidth="1"/>
    <col min="10249" max="10497" width="9.140625" style="49" bestFit="1" customWidth="1"/>
    <col min="10498" max="10498" width="82.140625" style="49" bestFit="1" customWidth="1"/>
    <col min="10499" max="10499" width="12.28515625" style="49" bestFit="1" customWidth="1"/>
    <col min="10500" max="10504" width="11.140625" style="49" bestFit="1" customWidth="1"/>
    <col min="10505" max="10753" width="9.140625" style="49" bestFit="1" customWidth="1"/>
    <col min="10754" max="10754" width="82.140625" style="49" bestFit="1" customWidth="1"/>
    <col min="10755" max="10755" width="12.28515625" style="49" bestFit="1" customWidth="1"/>
    <col min="10756" max="10760" width="11.140625" style="49" bestFit="1" customWidth="1"/>
    <col min="10761" max="11009" width="9.140625" style="49" bestFit="1" customWidth="1"/>
    <col min="11010" max="11010" width="82.140625" style="49" bestFit="1" customWidth="1"/>
    <col min="11011" max="11011" width="12.28515625" style="49" bestFit="1" customWidth="1"/>
    <col min="11012" max="11016" width="11.140625" style="49" bestFit="1" customWidth="1"/>
    <col min="11017" max="11265" width="9.140625" style="49" bestFit="1" customWidth="1"/>
    <col min="11266" max="11266" width="82.140625" style="49" bestFit="1" customWidth="1"/>
    <col min="11267" max="11267" width="12.28515625" style="49" bestFit="1" customWidth="1"/>
    <col min="11268" max="11272" width="11.140625" style="49" bestFit="1" customWidth="1"/>
    <col min="11273" max="11521" width="9.140625" style="49" bestFit="1" customWidth="1"/>
    <col min="11522" max="11522" width="82.140625" style="49" bestFit="1" customWidth="1"/>
    <col min="11523" max="11523" width="12.28515625" style="49" bestFit="1" customWidth="1"/>
    <col min="11524" max="11528" width="11.140625" style="49" bestFit="1" customWidth="1"/>
    <col min="11529" max="11777" width="9.140625" style="49" bestFit="1" customWidth="1"/>
    <col min="11778" max="11778" width="82.140625" style="49" bestFit="1" customWidth="1"/>
    <col min="11779" max="11779" width="12.28515625" style="49" bestFit="1" customWidth="1"/>
    <col min="11780" max="11784" width="11.140625" style="49" bestFit="1" customWidth="1"/>
    <col min="11785" max="12033" width="9.140625" style="49" bestFit="1" customWidth="1"/>
    <col min="12034" max="12034" width="82.140625" style="49" bestFit="1" customWidth="1"/>
    <col min="12035" max="12035" width="12.28515625" style="49" bestFit="1" customWidth="1"/>
    <col min="12036" max="12040" width="11.140625" style="49" bestFit="1" customWidth="1"/>
    <col min="12041" max="12289" width="9.140625" style="49" bestFit="1" customWidth="1"/>
    <col min="12290" max="12290" width="82.140625" style="49" bestFit="1" customWidth="1"/>
    <col min="12291" max="12291" width="12.28515625" style="49" bestFit="1" customWidth="1"/>
    <col min="12292" max="12296" width="11.140625" style="49" bestFit="1" customWidth="1"/>
    <col min="12297" max="12545" width="9.140625" style="49" bestFit="1" customWidth="1"/>
    <col min="12546" max="12546" width="82.140625" style="49" bestFit="1" customWidth="1"/>
    <col min="12547" max="12547" width="12.28515625" style="49" bestFit="1" customWidth="1"/>
    <col min="12548" max="12552" width="11.140625" style="49" bestFit="1" customWidth="1"/>
    <col min="12553" max="12801" width="9.140625" style="49" bestFit="1" customWidth="1"/>
    <col min="12802" max="12802" width="82.140625" style="49" bestFit="1" customWidth="1"/>
    <col min="12803" max="12803" width="12.28515625" style="49" bestFit="1" customWidth="1"/>
    <col min="12804" max="12808" width="11.140625" style="49" bestFit="1" customWidth="1"/>
    <col min="12809" max="13057" width="9.140625" style="49" bestFit="1" customWidth="1"/>
    <col min="13058" max="13058" width="82.140625" style="49" bestFit="1" customWidth="1"/>
    <col min="13059" max="13059" width="12.28515625" style="49" bestFit="1" customWidth="1"/>
    <col min="13060" max="13064" width="11.140625" style="49" bestFit="1" customWidth="1"/>
    <col min="13065" max="13313" width="9.140625" style="49" bestFit="1" customWidth="1"/>
    <col min="13314" max="13314" width="82.140625" style="49" bestFit="1" customWidth="1"/>
    <col min="13315" max="13315" width="12.28515625" style="49" bestFit="1" customWidth="1"/>
    <col min="13316" max="13320" width="11.140625" style="49" bestFit="1" customWidth="1"/>
    <col min="13321" max="13569" width="9.140625" style="49" bestFit="1" customWidth="1"/>
    <col min="13570" max="13570" width="82.140625" style="49" bestFit="1" customWidth="1"/>
    <col min="13571" max="13571" width="12.28515625" style="49" bestFit="1" customWidth="1"/>
    <col min="13572" max="13576" width="11.140625" style="49" bestFit="1" customWidth="1"/>
    <col min="13577" max="13825" width="9.140625" style="49" bestFit="1" customWidth="1"/>
    <col min="13826" max="13826" width="82.140625" style="49" bestFit="1" customWidth="1"/>
    <col min="13827" max="13827" width="12.28515625" style="49" bestFit="1" customWidth="1"/>
    <col min="13828" max="13832" width="11.140625" style="49" bestFit="1" customWidth="1"/>
    <col min="13833" max="14081" width="9.140625" style="49" bestFit="1" customWidth="1"/>
    <col min="14082" max="14082" width="82.140625" style="49" bestFit="1" customWidth="1"/>
    <col min="14083" max="14083" width="12.28515625" style="49" bestFit="1" customWidth="1"/>
    <col min="14084" max="14088" width="11.140625" style="49" bestFit="1" customWidth="1"/>
    <col min="14089" max="14337" width="9.140625" style="49" bestFit="1" customWidth="1"/>
    <col min="14338" max="14338" width="82.140625" style="49" bestFit="1" customWidth="1"/>
    <col min="14339" max="14339" width="12.28515625" style="49" bestFit="1" customWidth="1"/>
    <col min="14340" max="14344" width="11.140625" style="49" bestFit="1" customWidth="1"/>
    <col min="14345" max="14593" width="9.140625" style="49" bestFit="1" customWidth="1"/>
    <col min="14594" max="14594" width="82.140625" style="49" bestFit="1" customWidth="1"/>
    <col min="14595" max="14595" width="12.28515625" style="49" bestFit="1" customWidth="1"/>
    <col min="14596" max="14600" width="11.140625" style="49" bestFit="1" customWidth="1"/>
    <col min="14601" max="14849" width="9.140625" style="49" bestFit="1" customWidth="1"/>
    <col min="14850" max="14850" width="82.140625" style="49" bestFit="1" customWidth="1"/>
    <col min="14851" max="14851" width="12.28515625" style="49" bestFit="1" customWidth="1"/>
    <col min="14852" max="14856" width="11.140625" style="49" bestFit="1" customWidth="1"/>
    <col min="14857" max="15105" width="9.140625" style="49" bestFit="1" customWidth="1"/>
    <col min="15106" max="15106" width="82.140625" style="49" bestFit="1" customWidth="1"/>
    <col min="15107" max="15107" width="12.28515625" style="49" bestFit="1" customWidth="1"/>
    <col min="15108" max="15112" width="11.140625" style="49" bestFit="1" customWidth="1"/>
    <col min="15113" max="15361" width="9.140625" style="49" bestFit="1" customWidth="1"/>
    <col min="15362" max="15362" width="82.140625" style="49" bestFit="1" customWidth="1"/>
    <col min="15363" max="15363" width="12.28515625" style="49" bestFit="1" customWidth="1"/>
    <col min="15364" max="15368" width="11.140625" style="49" bestFit="1" customWidth="1"/>
    <col min="15369" max="15617" width="9.140625" style="49" bestFit="1" customWidth="1"/>
    <col min="15618" max="15618" width="82.140625" style="49" bestFit="1" customWidth="1"/>
    <col min="15619" max="15619" width="12.28515625" style="49" bestFit="1" customWidth="1"/>
    <col min="15620" max="15624" width="11.140625" style="49" bestFit="1" customWidth="1"/>
    <col min="15625" max="15873" width="9.140625" style="49" bestFit="1" customWidth="1"/>
    <col min="15874" max="15874" width="82.140625" style="49" bestFit="1" customWidth="1"/>
    <col min="15875" max="15875" width="12.28515625" style="49" bestFit="1" customWidth="1"/>
    <col min="15876" max="15880" width="11.140625" style="49" bestFit="1" customWidth="1"/>
    <col min="15881" max="16129" width="9.140625" style="49" bestFit="1" customWidth="1"/>
    <col min="16130" max="16130" width="82.140625" style="49" bestFit="1" customWidth="1"/>
    <col min="16131" max="16131" width="12.28515625" style="49" bestFit="1" customWidth="1"/>
    <col min="16132" max="16136" width="11.140625" style="49" bestFit="1" customWidth="1"/>
    <col min="16137" max="16384" width="9.140625" style="49" bestFit="1" customWidth="1"/>
  </cols>
  <sheetData>
    <row r="1" spans="1:8" ht="15.75">
      <c r="A1" s="836" t="s">
        <v>254</v>
      </c>
      <c r="B1" s="836"/>
      <c r="C1" s="836"/>
      <c r="D1" s="836"/>
      <c r="E1" s="836"/>
      <c r="F1" s="836"/>
      <c r="G1" s="50"/>
      <c r="H1" s="50"/>
    </row>
    <row r="2" spans="1:8" ht="15.75">
      <c r="A2" s="836"/>
      <c r="B2" s="836"/>
      <c r="C2" s="836"/>
      <c r="D2" s="836"/>
      <c r="E2" s="836"/>
      <c r="F2" s="50"/>
      <c r="G2" s="50"/>
      <c r="H2" s="50"/>
    </row>
    <row r="3" spans="1:8" ht="15.75">
      <c r="A3" s="837" t="s">
        <v>723</v>
      </c>
      <c r="B3" s="837"/>
      <c r="C3" s="837"/>
      <c r="D3" s="837"/>
      <c r="E3" s="837"/>
      <c r="F3" s="837"/>
      <c r="G3" s="50"/>
      <c r="H3" s="50"/>
    </row>
    <row r="4" spans="1:8" ht="15.75" thickBot="1">
      <c r="A4" s="176" t="s">
        <v>256</v>
      </c>
      <c r="B4" s="177" t="s">
        <v>257</v>
      </c>
      <c r="C4" s="178" t="s">
        <v>258</v>
      </c>
      <c r="D4" s="178" t="str">
        <f>'[6]General Info'!D4</f>
        <v>FY 2008-2009</v>
      </c>
      <c r="E4" s="178" t="str">
        <f>'[6]General Info'!E4</f>
        <v>FY 2009-2010</v>
      </c>
      <c r="F4" s="178" t="str">
        <f>'[6]General Info'!F4</f>
        <v>FY 2010-2011</v>
      </c>
      <c r="G4" s="178" t="str">
        <f>'[6]General Info'!G4</f>
        <v>FY 2011-2012</v>
      </c>
      <c r="H4" s="178" t="str">
        <f>'[6]General Info'!H4</f>
        <v>FY 2012-2013</v>
      </c>
    </row>
    <row r="5" spans="1:8" ht="19.5" thickBot="1">
      <c r="A5" s="179"/>
      <c r="B5" s="845" t="s">
        <v>724</v>
      </c>
      <c r="C5" s="845"/>
      <c r="D5" s="845"/>
      <c r="E5" s="845"/>
      <c r="F5" s="180"/>
      <c r="G5" s="180"/>
      <c r="H5" s="180"/>
    </row>
    <row r="6" spans="1:8" ht="21">
      <c r="A6" s="140"/>
      <c r="B6" s="260" t="s">
        <v>725</v>
      </c>
      <c r="C6" s="261"/>
      <c r="D6" s="258"/>
      <c r="E6" s="258"/>
      <c r="F6" s="258"/>
      <c r="G6" s="258"/>
      <c r="H6" s="258"/>
    </row>
    <row r="7" spans="1:8">
      <c r="A7" s="259">
        <v>1</v>
      </c>
      <c r="B7" s="262" t="s">
        <v>726</v>
      </c>
      <c r="C7" s="262" t="s">
        <v>271</v>
      </c>
      <c r="D7" s="262">
        <f>'[6]General Info'!D14</f>
        <v>2500</v>
      </c>
      <c r="E7" s="262">
        <f>'[6]General Info'!E14</f>
        <v>9</v>
      </c>
      <c r="F7" s="262">
        <f>'[6]General Info'!F14</f>
        <v>8</v>
      </c>
      <c r="G7" s="262">
        <f>'[6]General Info'!G14</f>
        <v>8</v>
      </c>
      <c r="H7" s="262">
        <f>'[6]General Info'!H14</f>
        <v>8</v>
      </c>
    </row>
    <row r="8" spans="1:8">
      <c r="A8" s="259">
        <v>2</v>
      </c>
      <c r="B8" s="262" t="s">
        <v>727</v>
      </c>
      <c r="C8" s="262" t="s">
        <v>271</v>
      </c>
      <c r="D8" s="262">
        <v>9500</v>
      </c>
      <c r="E8" s="262">
        <v>9520</v>
      </c>
      <c r="F8" s="262">
        <v>8770</v>
      </c>
      <c r="G8" s="262">
        <v>8770</v>
      </c>
      <c r="H8" s="266">
        <v>9647</v>
      </c>
    </row>
    <row r="9" spans="1:8">
      <c r="A9" s="259">
        <v>3</v>
      </c>
      <c r="B9" s="262" t="s">
        <v>728</v>
      </c>
      <c r="C9" s="262" t="s">
        <v>271</v>
      </c>
      <c r="D9" s="262">
        <f>'[6]General Info'!D16</f>
        <v>2500</v>
      </c>
      <c r="E9" s="262">
        <f>'[6]General Info'!E16</f>
        <v>1604</v>
      </c>
      <c r="F9" s="262">
        <f>'[6]General Info'!F16</f>
        <v>1571</v>
      </c>
      <c r="G9" s="262">
        <f>'[6]General Info'!G16</f>
        <v>1571</v>
      </c>
      <c r="H9" s="262">
        <f>'[6]General Info'!H16</f>
        <v>1608</v>
      </c>
    </row>
    <row r="10" spans="1:8">
      <c r="A10" s="259">
        <v>4</v>
      </c>
      <c r="B10" s="262" t="s">
        <v>729</v>
      </c>
      <c r="C10" s="262" t="s">
        <v>477</v>
      </c>
      <c r="D10" s="262">
        <f>IF(OR(D8="na",D9="na"),"na",IF(OR(D8="nd",D9="nd"),"nd",D8/D9))</f>
        <v>3.8</v>
      </c>
      <c r="E10" s="262">
        <f>IF(OR(E8="na",E9="na"),"na",IF(OR(E8="nd",E9="nd"),"nd",E8/E9))</f>
        <v>5.9351620947630925</v>
      </c>
      <c r="F10" s="262">
        <f>IF(OR(F8="na",F9="na"),"na",IF(OR(F8="nd",F9="nd"),"nd",F8/F9))</f>
        <v>5.5824315722469766</v>
      </c>
      <c r="G10" s="262">
        <f>IF(OR(G8="na",G9="na"),"na",IF(OR(G8="nd",G9="nd"),"nd",G8/G9))</f>
        <v>5.5824315722469766</v>
      </c>
      <c r="H10" s="262">
        <f>IF(OR(H8="na",H9="na"),"na",IF(OR(H8="nd",H9="nd"),"nd",H8/H9))</f>
        <v>5.9993781094527368</v>
      </c>
    </row>
    <row r="11" spans="1:8">
      <c r="A11" s="259">
        <v>5</v>
      </c>
      <c r="B11" s="262" t="s">
        <v>730</v>
      </c>
      <c r="C11" s="262" t="s">
        <v>271</v>
      </c>
      <c r="D11" s="262"/>
      <c r="E11" s="262" t="s">
        <v>251</v>
      </c>
      <c r="F11" s="262" t="s">
        <v>251</v>
      </c>
      <c r="G11" s="262" t="s">
        <v>251</v>
      </c>
      <c r="H11" s="262" t="s">
        <v>251</v>
      </c>
    </row>
    <row r="12" spans="1:8">
      <c r="A12" s="259">
        <v>6</v>
      </c>
      <c r="B12" s="262" t="s">
        <v>731</v>
      </c>
      <c r="C12" s="263" t="s">
        <v>271</v>
      </c>
      <c r="D12" s="264"/>
      <c r="E12" s="265" t="s">
        <v>251</v>
      </c>
      <c r="F12" s="265" t="s">
        <v>251</v>
      </c>
      <c r="G12" s="265" t="s">
        <v>251</v>
      </c>
      <c r="H12" s="265" t="s">
        <v>251</v>
      </c>
    </row>
    <row r="13" spans="1:8" ht="21">
      <c r="A13" s="186"/>
      <c r="B13" s="187"/>
      <c r="C13" s="187"/>
      <c r="D13" s="187"/>
      <c r="E13" s="188"/>
      <c r="F13" s="188"/>
      <c r="G13" s="188"/>
      <c r="H13" s="188"/>
    </row>
    <row r="14" spans="1:8" ht="18" thickBot="1">
      <c r="A14" s="181"/>
      <c r="B14" s="61" t="s">
        <v>732</v>
      </c>
      <c r="C14" s="61" t="s">
        <v>258</v>
      </c>
      <c r="D14" s="61" t="str">
        <f>'[6]General Info'!D4</f>
        <v>FY 2008-2009</v>
      </c>
      <c r="E14" s="61" t="str">
        <f>'[6]General Info'!E4</f>
        <v>FY 2009-2010</v>
      </c>
      <c r="F14" s="61" t="str">
        <f>'[6]General Info'!F4</f>
        <v>FY 2010-2011</v>
      </c>
      <c r="G14" s="61" t="str">
        <f>'[6]General Info'!G4</f>
        <v>FY 2011-2012</v>
      </c>
      <c r="H14" s="61" t="str">
        <f>'[6]General Info'!H4</f>
        <v>FY 2012-2013</v>
      </c>
    </row>
    <row r="15" spans="1:8" ht="15.75" thickBot="1">
      <c r="A15" s="141">
        <v>7</v>
      </c>
      <c r="B15" s="110" t="s">
        <v>733</v>
      </c>
      <c r="C15" s="182" t="s">
        <v>459</v>
      </c>
      <c r="D15" s="189"/>
      <c r="E15" s="39" t="s">
        <v>563</v>
      </c>
      <c r="F15" s="39" t="s">
        <v>563</v>
      </c>
      <c r="G15" s="39" t="s">
        <v>563</v>
      </c>
      <c r="H15" s="39" t="s">
        <v>563</v>
      </c>
    </row>
    <row r="16" spans="1:8" ht="15.75" thickBot="1">
      <c r="A16" s="141">
        <v>8</v>
      </c>
      <c r="B16" s="110" t="s">
        <v>734</v>
      </c>
      <c r="C16" s="182" t="s">
        <v>459</v>
      </c>
      <c r="D16" s="189"/>
      <c r="E16" s="39" t="s">
        <v>697</v>
      </c>
      <c r="F16" s="39" t="s">
        <v>697</v>
      </c>
      <c r="G16" s="39" t="s">
        <v>697</v>
      </c>
      <c r="H16" s="39" t="s">
        <v>697</v>
      </c>
    </row>
    <row r="17" spans="1:8" ht="15.75" thickBot="1">
      <c r="A17" s="141">
        <v>9</v>
      </c>
      <c r="B17" s="110" t="s">
        <v>735</v>
      </c>
      <c r="C17" s="182" t="s">
        <v>459</v>
      </c>
      <c r="D17" s="189"/>
      <c r="E17" s="39" t="s">
        <v>563</v>
      </c>
      <c r="F17" s="39" t="s">
        <v>563</v>
      </c>
      <c r="G17" s="39" t="s">
        <v>563</v>
      </c>
      <c r="H17" s="39" t="s">
        <v>563</v>
      </c>
    </row>
    <row r="18" spans="1:8" ht="18" thickBot="1">
      <c r="A18" s="141">
        <v>10</v>
      </c>
      <c r="B18" s="190" t="s">
        <v>736</v>
      </c>
      <c r="C18" s="182" t="s">
        <v>271</v>
      </c>
      <c r="D18" s="189"/>
      <c r="E18" s="33" t="s">
        <v>737</v>
      </c>
      <c r="F18" s="33" t="s">
        <v>738</v>
      </c>
      <c r="G18" s="33" t="s">
        <v>738</v>
      </c>
      <c r="H18" s="33">
        <v>8</v>
      </c>
    </row>
    <row r="19" spans="1:8" ht="18" thickBot="1">
      <c r="A19" s="141">
        <v>11</v>
      </c>
      <c r="B19" s="190" t="s">
        <v>739</v>
      </c>
      <c r="C19" s="182"/>
      <c r="D19" s="191"/>
      <c r="E19" s="191"/>
      <c r="F19" s="191"/>
      <c r="G19" s="191"/>
      <c r="H19" s="191"/>
    </row>
    <row r="20" spans="1:8" ht="15.75" thickBot="1">
      <c r="A20" s="141">
        <v>12</v>
      </c>
      <c r="B20" s="110" t="s">
        <v>740</v>
      </c>
      <c r="C20" s="182" t="s">
        <v>459</v>
      </c>
      <c r="D20" s="189"/>
      <c r="E20" s="39" t="s">
        <v>697</v>
      </c>
      <c r="F20" s="39" t="s">
        <v>697</v>
      </c>
      <c r="G20" s="39" t="s">
        <v>563</v>
      </c>
      <c r="H20" s="39" t="s">
        <v>563</v>
      </c>
    </row>
    <row r="21" spans="1:8" ht="15.75" thickBot="1">
      <c r="A21" s="141">
        <v>13</v>
      </c>
      <c r="B21" s="110" t="s">
        <v>741</v>
      </c>
      <c r="C21" s="182" t="s">
        <v>459</v>
      </c>
      <c r="D21" s="189"/>
      <c r="E21" s="39" t="s">
        <v>697</v>
      </c>
      <c r="F21" s="39" t="s">
        <v>697</v>
      </c>
      <c r="G21" s="39" t="s">
        <v>697</v>
      </c>
      <c r="H21" s="39" t="s">
        <v>697</v>
      </c>
    </row>
    <row r="22" spans="1:8" ht="15.75" thickBot="1">
      <c r="A22" s="141">
        <v>14</v>
      </c>
      <c r="B22" s="110" t="s">
        <v>742</v>
      </c>
      <c r="C22" s="182" t="s">
        <v>459</v>
      </c>
      <c r="D22" s="189"/>
      <c r="E22" s="39" t="s">
        <v>563</v>
      </c>
      <c r="F22" s="39" t="s">
        <v>563</v>
      </c>
      <c r="G22" s="39" t="s">
        <v>563</v>
      </c>
      <c r="H22" s="39" t="s">
        <v>563</v>
      </c>
    </row>
    <row r="23" spans="1:8" ht="15.75" thickBot="1">
      <c r="A23" s="141">
        <v>15</v>
      </c>
      <c r="B23" s="110" t="s">
        <v>743</v>
      </c>
      <c r="C23" s="182" t="s">
        <v>268</v>
      </c>
      <c r="D23" s="142"/>
      <c r="E23" s="33" t="s">
        <v>250</v>
      </c>
      <c r="F23" s="33" t="s">
        <v>250</v>
      </c>
      <c r="G23" s="33">
        <v>10</v>
      </c>
      <c r="H23" s="33">
        <v>15</v>
      </c>
    </row>
    <row r="24" spans="1:8" ht="15.75" thickBot="1">
      <c r="A24" s="141">
        <v>16</v>
      </c>
      <c r="B24" s="110" t="s">
        <v>744</v>
      </c>
      <c r="C24" s="182" t="s">
        <v>268</v>
      </c>
      <c r="D24" s="142"/>
      <c r="E24" s="33" t="s">
        <v>250</v>
      </c>
      <c r="F24" s="33" t="s">
        <v>250</v>
      </c>
      <c r="G24" s="33">
        <v>8</v>
      </c>
      <c r="H24" s="33">
        <v>10</v>
      </c>
    </row>
    <row r="25" spans="1:8" ht="15.75" thickBot="1">
      <c r="A25" s="141">
        <v>17</v>
      </c>
      <c r="B25" s="110" t="s">
        <v>745</v>
      </c>
      <c r="C25" s="182" t="s">
        <v>435</v>
      </c>
      <c r="D25" s="142"/>
      <c r="E25" s="33">
        <v>600</v>
      </c>
      <c r="F25" s="33">
        <v>600</v>
      </c>
      <c r="G25" s="33">
        <v>600</v>
      </c>
      <c r="H25" s="33">
        <v>600</v>
      </c>
    </row>
    <row r="26" spans="1:8" ht="15.75" thickBot="1">
      <c r="A26" s="141">
        <v>18</v>
      </c>
      <c r="B26" s="110" t="s">
        <v>746</v>
      </c>
      <c r="C26" s="182" t="s">
        <v>459</v>
      </c>
      <c r="D26" s="189"/>
      <c r="E26" s="39" t="s">
        <v>697</v>
      </c>
      <c r="F26" s="39" t="s">
        <v>697</v>
      </c>
      <c r="G26" s="39" t="s">
        <v>697</v>
      </c>
      <c r="H26" s="39" t="s">
        <v>697</v>
      </c>
    </row>
    <row r="27" spans="1:8" ht="15.75" thickBot="1">
      <c r="A27" s="141">
        <v>19</v>
      </c>
      <c r="B27" s="110" t="s">
        <v>747</v>
      </c>
      <c r="C27" s="182" t="s">
        <v>748</v>
      </c>
      <c r="D27" s="189"/>
      <c r="E27" s="39" t="s">
        <v>749</v>
      </c>
      <c r="F27" s="39" t="s">
        <v>749</v>
      </c>
      <c r="G27" s="39" t="s">
        <v>749</v>
      </c>
      <c r="H27" s="39" t="s">
        <v>749</v>
      </c>
    </row>
    <row r="28" spans="1:8" ht="21">
      <c r="A28" s="192"/>
      <c r="B28" s="193" t="s">
        <v>750</v>
      </c>
      <c r="C28" s="188"/>
      <c r="D28" s="188"/>
      <c r="E28" s="193"/>
      <c r="F28" s="193"/>
      <c r="G28" s="193"/>
      <c r="H28" s="193"/>
    </row>
    <row r="29" spans="1:8" ht="15.75" thickBot="1">
      <c r="A29" s="141">
        <v>20</v>
      </c>
      <c r="B29" s="110" t="s">
        <v>751</v>
      </c>
      <c r="C29" s="182" t="s">
        <v>459</v>
      </c>
      <c r="D29" s="189"/>
      <c r="E29" s="39" t="s">
        <v>563</v>
      </c>
      <c r="F29" s="39" t="s">
        <v>563</v>
      </c>
      <c r="G29" s="39" t="s">
        <v>563</v>
      </c>
      <c r="H29" s="39" t="s">
        <v>563</v>
      </c>
    </row>
    <row r="30" spans="1:8" ht="18" thickBot="1">
      <c r="A30" s="141">
        <v>21</v>
      </c>
      <c r="B30" s="183" t="s">
        <v>752</v>
      </c>
      <c r="C30" s="194" t="s">
        <v>753</v>
      </c>
      <c r="D30" s="182"/>
      <c r="E30" s="39" t="s">
        <v>754</v>
      </c>
      <c r="F30" s="39" t="s">
        <v>754</v>
      </c>
      <c r="G30" s="39" t="s">
        <v>749</v>
      </c>
      <c r="H30" s="39" t="s">
        <v>755</v>
      </c>
    </row>
    <row r="31" spans="1:8" ht="21">
      <c r="A31" s="195"/>
      <c r="B31" s="196" t="s">
        <v>756</v>
      </c>
      <c r="C31" s="197"/>
      <c r="D31" s="197"/>
      <c r="E31" s="196"/>
      <c r="F31" s="196"/>
      <c r="G31" s="196"/>
      <c r="H31" s="196"/>
    </row>
    <row r="32" spans="1:8" ht="21">
      <c r="A32" s="186"/>
      <c r="B32" s="187"/>
      <c r="C32" s="187"/>
      <c r="D32" s="187"/>
      <c r="E32" s="188"/>
      <c r="F32" s="188"/>
      <c r="G32" s="188"/>
      <c r="H32" s="188"/>
    </row>
    <row r="33" spans="1:8" ht="18" thickBot="1">
      <c r="A33" s="181"/>
      <c r="B33" s="61" t="s">
        <v>757</v>
      </c>
      <c r="C33" s="61" t="s">
        <v>258</v>
      </c>
      <c r="D33" s="61" t="str">
        <f>'[6]General Info'!D4</f>
        <v>FY 2008-2009</v>
      </c>
      <c r="E33" s="61" t="str">
        <f>'[6]General Info'!E4</f>
        <v>FY 2009-2010</v>
      </c>
      <c r="F33" s="61" t="str">
        <f>'[6]General Info'!F4</f>
        <v>FY 2010-2011</v>
      </c>
      <c r="G33" s="61" t="str">
        <f>'[6]General Info'!G4</f>
        <v>FY 2011-2012</v>
      </c>
      <c r="H33" s="61" t="str">
        <f>'[6]General Info'!H4</f>
        <v>FY 2012-2013</v>
      </c>
    </row>
    <row r="34" spans="1:8" ht="15.75" thickBot="1">
      <c r="A34" s="198">
        <v>22</v>
      </c>
      <c r="B34" s="110" t="s">
        <v>758</v>
      </c>
      <c r="C34" s="182" t="s">
        <v>271</v>
      </c>
      <c r="D34" s="142"/>
      <c r="E34" s="31">
        <v>9</v>
      </c>
      <c r="F34" s="31">
        <v>8</v>
      </c>
      <c r="G34" s="31">
        <v>8</v>
      </c>
      <c r="H34" s="31">
        <v>8</v>
      </c>
    </row>
    <row r="35" spans="1:8" ht="15.75" thickBot="1">
      <c r="A35" s="198">
        <v>23</v>
      </c>
      <c r="B35" s="110" t="s">
        <v>759</v>
      </c>
      <c r="C35" s="182" t="s">
        <v>271</v>
      </c>
      <c r="D35" s="31">
        <v>0</v>
      </c>
      <c r="E35" s="31">
        <v>1604</v>
      </c>
      <c r="F35" s="31">
        <v>1571</v>
      </c>
      <c r="G35" s="31">
        <v>1099</v>
      </c>
      <c r="H35" s="31">
        <v>1248</v>
      </c>
    </row>
    <row r="36" spans="1:8" ht="18" thickBot="1">
      <c r="A36" s="198">
        <v>24</v>
      </c>
      <c r="B36" s="199" t="s">
        <v>760</v>
      </c>
      <c r="C36" s="184" t="s">
        <v>271</v>
      </c>
      <c r="D36" s="200"/>
      <c r="E36" s="33" t="s">
        <v>250</v>
      </c>
      <c r="F36" s="33" t="s">
        <v>250</v>
      </c>
      <c r="G36" s="33" t="s">
        <v>250</v>
      </c>
      <c r="H36" s="31">
        <v>149</v>
      </c>
    </row>
    <row r="37" spans="1:8" ht="15.75" thickBot="1">
      <c r="A37" s="198">
        <v>25</v>
      </c>
      <c r="B37" s="110" t="s">
        <v>761</v>
      </c>
      <c r="C37" s="182" t="s">
        <v>271</v>
      </c>
      <c r="D37" s="142"/>
      <c r="E37" s="33" t="s">
        <v>251</v>
      </c>
      <c r="F37" s="33" t="s">
        <v>251</v>
      </c>
      <c r="G37" s="33" t="s">
        <v>251</v>
      </c>
      <c r="H37" s="33" t="s">
        <v>251</v>
      </c>
    </row>
    <row r="38" spans="1:8" ht="15.75" thickBot="1">
      <c r="A38" s="198">
        <v>26</v>
      </c>
      <c r="B38" s="110" t="s">
        <v>762</v>
      </c>
      <c r="C38" s="182" t="s">
        <v>271</v>
      </c>
      <c r="D38" s="31">
        <v>4</v>
      </c>
      <c r="E38" s="31">
        <v>2</v>
      </c>
      <c r="F38" s="31">
        <v>1</v>
      </c>
      <c r="G38" s="31">
        <v>1</v>
      </c>
      <c r="H38" s="31">
        <v>5</v>
      </c>
    </row>
    <row r="39" spans="1:8" ht="18" thickBot="1">
      <c r="A39" s="198">
        <v>27</v>
      </c>
      <c r="B39" s="183" t="s">
        <v>763</v>
      </c>
      <c r="C39" s="184" t="s">
        <v>271</v>
      </c>
      <c r="D39" s="200"/>
      <c r="E39" s="33" t="s">
        <v>251</v>
      </c>
      <c r="F39" s="33" t="s">
        <v>251</v>
      </c>
      <c r="G39" s="33" t="s">
        <v>251</v>
      </c>
      <c r="H39" s="33" t="s">
        <v>251</v>
      </c>
    </row>
    <row r="40" spans="1:8" ht="15.75" thickBot="1">
      <c r="A40" s="198">
        <v>28</v>
      </c>
      <c r="B40" s="110" t="s">
        <v>764</v>
      </c>
      <c r="C40" s="182" t="s">
        <v>271</v>
      </c>
      <c r="D40" s="31">
        <v>0</v>
      </c>
      <c r="E40" s="31">
        <v>1395</v>
      </c>
      <c r="F40" s="31">
        <v>1297</v>
      </c>
      <c r="G40" s="31">
        <v>1099</v>
      </c>
      <c r="H40" s="31">
        <v>1200</v>
      </c>
    </row>
    <row r="41" spans="1:8" ht="18" thickBot="1">
      <c r="A41" s="198">
        <v>29</v>
      </c>
      <c r="B41" s="199" t="s">
        <v>765</v>
      </c>
      <c r="C41" s="184" t="s">
        <v>271</v>
      </c>
      <c r="D41" s="200"/>
      <c r="E41" s="33" t="s">
        <v>250</v>
      </c>
      <c r="F41" s="33" t="s">
        <v>250</v>
      </c>
      <c r="G41" s="31">
        <v>100</v>
      </c>
      <c r="H41" s="31">
        <v>101</v>
      </c>
    </row>
    <row r="42" spans="1:8" ht="15.75" thickBot="1">
      <c r="A42" s="198">
        <v>30</v>
      </c>
      <c r="B42" s="110" t="s">
        <v>766</v>
      </c>
      <c r="C42" s="182" t="s">
        <v>271</v>
      </c>
      <c r="D42" s="31">
        <v>40</v>
      </c>
      <c r="E42" s="33" t="s">
        <v>250</v>
      </c>
      <c r="F42" s="33" t="s">
        <v>250</v>
      </c>
      <c r="G42" s="31">
        <v>10</v>
      </c>
      <c r="H42" s="33" t="s">
        <v>250</v>
      </c>
    </row>
    <row r="43" spans="1:8" ht="15.75" thickBot="1">
      <c r="A43" s="198">
        <v>31</v>
      </c>
      <c r="B43" s="110" t="s">
        <v>767</v>
      </c>
      <c r="C43" s="182" t="s">
        <v>271</v>
      </c>
      <c r="D43" s="31">
        <v>0</v>
      </c>
      <c r="E43" s="33" t="s">
        <v>250</v>
      </c>
      <c r="F43" s="33" t="s">
        <v>250</v>
      </c>
      <c r="G43" s="31">
        <v>5</v>
      </c>
      <c r="H43" s="33" t="s">
        <v>250</v>
      </c>
    </row>
    <row r="44" spans="1:8" ht="15.75" thickBot="1">
      <c r="A44" s="198">
        <v>32</v>
      </c>
      <c r="B44" s="110" t="s">
        <v>768</v>
      </c>
      <c r="C44" s="182" t="s">
        <v>271</v>
      </c>
      <c r="D44" s="142"/>
      <c r="E44" s="31">
        <v>8</v>
      </c>
      <c r="F44" s="31">
        <v>7</v>
      </c>
      <c r="G44" s="31">
        <v>7</v>
      </c>
      <c r="H44" s="31">
        <v>7</v>
      </c>
    </row>
    <row r="45" spans="1:8" ht="15.75" thickBot="1">
      <c r="A45" s="198">
        <v>33</v>
      </c>
      <c r="B45" s="110" t="s">
        <v>769</v>
      </c>
      <c r="C45" s="182" t="s">
        <v>271</v>
      </c>
      <c r="D45" s="31">
        <v>0</v>
      </c>
      <c r="E45" s="33" t="s">
        <v>250</v>
      </c>
      <c r="F45" s="33" t="s">
        <v>250</v>
      </c>
      <c r="G45" s="31">
        <v>109</v>
      </c>
      <c r="H45" s="31">
        <v>118</v>
      </c>
    </row>
    <row r="46" spans="1:8" ht="18" thickBot="1">
      <c r="A46" s="198">
        <v>34</v>
      </c>
      <c r="B46" s="199" t="s">
        <v>770</v>
      </c>
      <c r="C46" s="184" t="s">
        <v>271</v>
      </c>
      <c r="D46" s="200"/>
      <c r="E46" s="31">
        <v>0</v>
      </c>
      <c r="F46" s="31">
        <v>0</v>
      </c>
      <c r="G46" s="31">
        <v>0</v>
      </c>
      <c r="H46" s="31">
        <v>0</v>
      </c>
    </row>
    <row r="47" spans="1:8" ht="15.75" thickBot="1">
      <c r="A47" s="198">
        <v>35</v>
      </c>
      <c r="B47" s="110" t="s">
        <v>771</v>
      </c>
      <c r="C47" s="182" t="s">
        <v>271</v>
      </c>
      <c r="D47" s="31">
        <v>2500</v>
      </c>
      <c r="E47" s="31">
        <v>1604</v>
      </c>
      <c r="F47" s="31">
        <v>1571</v>
      </c>
      <c r="G47" s="31">
        <v>1571</v>
      </c>
      <c r="H47" s="31">
        <v>1600</v>
      </c>
    </row>
    <row r="49" spans="1:8" ht="15.75" thickBot="1">
      <c r="A49" s="839" t="s">
        <v>772</v>
      </c>
      <c r="B49" s="839"/>
      <c r="C49" s="839"/>
      <c r="D49" s="839"/>
      <c r="E49" s="839"/>
      <c r="F49" s="80"/>
      <c r="G49" s="80"/>
      <c r="H49" s="80"/>
    </row>
    <row r="50" spans="1:8" ht="19.5" thickBot="1">
      <c r="A50" s="179"/>
      <c r="B50" s="845" t="s">
        <v>217</v>
      </c>
      <c r="C50" s="845"/>
      <c r="D50" s="845"/>
      <c r="E50" s="845"/>
      <c r="F50" s="180"/>
      <c r="G50" s="180"/>
      <c r="H50" s="180"/>
    </row>
    <row r="51" spans="1:8" ht="18" thickBot="1">
      <c r="A51" s="181"/>
      <c r="B51" s="61" t="s">
        <v>773</v>
      </c>
      <c r="C51" s="61" t="s">
        <v>258</v>
      </c>
      <c r="D51" s="61" t="str">
        <f>'[6]General Info'!D4</f>
        <v>FY 2008-2009</v>
      </c>
      <c r="E51" s="61" t="str">
        <f>'[6]General Info'!E4</f>
        <v>FY 2009-2010</v>
      </c>
      <c r="F51" s="61" t="str">
        <f>'[6]General Info'!F4</f>
        <v>FY 2010-2011</v>
      </c>
      <c r="G51" s="61" t="str">
        <f>'[6]General Info'!G4</f>
        <v>FY 2011-2012</v>
      </c>
      <c r="H51" s="61" t="str">
        <f>'[6]General Info'!H4</f>
        <v>FY 2012-2013</v>
      </c>
    </row>
    <row r="52" spans="1:8" ht="15.75" thickBot="1">
      <c r="A52" s="198">
        <v>36</v>
      </c>
      <c r="B52" s="110" t="s">
        <v>774</v>
      </c>
      <c r="C52" s="182" t="s">
        <v>488</v>
      </c>
      <c r="D52" s="33">
        <v>41</v>
      </c>
      <c r="E52" s="33">
        <v>3</v>
      </c>
      <c r="F52" s="33">
        <v>3</v>
      </c>
      <c r="G52" s="33">
        <v>3</v>
      </c>
      <c r="H52" s="31">
        <v>3</v>
      </c>
    </row>
    <row r="53" spans="1:8" ht="15.75" thickBot="1">
      <c r="A53" s="198">
        <v>37</v>
      </c>
      <c r="B53" s="110" t="s">
        <v>775</v>
      </c>
      <c r="C53" s="182" t="s">
        <v>488</v>
      </c>
      <c r="D53" s="33">
        <v>0.2</v>
      </c>
      <c r="E53" s="33">
        <v>12.4</v>
      </c>
      <c r="F53" s="33">
        <v>12.4</v>
      </c>
      <c r="G53" s="33">
        <v>12.4</v>
      </c>
      <c r="H53" s="31">
        <v>14</v>
      </c>
    </row>
    <row r="54" spans="1:8" ht="18" thickBot="1">
      <c r="A54" s="198">
        <v>38</v>
      </c>
      <c r="B54" s="183" t="s">
        <v>776</v>
      </c>
      <c r="C54" s="182" t="s">
        <v>488</v>
      </c>
      <c r="D54" s="110"/>
      <c r="E54" s="33">
        <v>0.5</v>
      </c>
      <c r="F54" s="33">
        <v>0.7</v>
      </c>
      <c r="G54" s="33">
        <v>1</v>
      </c>
      <c r="H54" s="33" t="s">
        <v>250</v>
      </c>
    </row>
    <row r="55" spans="1:8" ht="15.75" thickBot="1">
      <c r="A55" s="198">
        <v>39</v>
      </c>
      <c r="B55" s="110" t="s">
        <v>777</v>
      </c>
      <c r="C55" s="182" t="s">
        <v>488</v>
      </c>
      <c r="D55" s="33">
        <v>26</v>
      </c>
      <c r="E55" s="33">
        <v>25</v>
      </c>
      <c r="F55" s="33">
        <v>25</v>
      </c>
      <c r="G55" s="33">
        <v>25.5</v>
      </c>
      <c r="H55" s="31">
        <v>30</v>
      </c>
    </row>
    <row r="56" spans="1:8" ht="15.75" thickBot="1">
      <c r="A56" s="198">
        <v>40</v>
      </c>
      <c r="B56" s="110" t="s">
        <v>778</v>
      </c>
      <c r="C56" s="182" t="s">
        <v>271</v>
      </c>
      <c r="D56" s="142"/>
      <c r="E56" s="31">
        <v>1800</v>
      </c>
      <c r="F56" s="31">
        <v>1350</v>
      </c>
      <c r="G56" s="31">
        <v>342</v>
      </c>
      <c r="H56" s="31">
        <v>200</v>
      </c>
    </row>
    <row r="57" spans="1:8" ht="15.75" thickBot="1">
      <c r="A57" s="198">
        <v>41</v>
      </c>
      <c r="B57" s="110" t="s">
        <v>779</v>
      </c>
      <c r="C57" s="182" t="s">
        <v>195</v>
      </c>
      <c r="D57" s="33">
        <v>19.579999999999998</v>
      </c>
      <c r="E57" s="33">
        <v>19.579999999999998</v>
      </c>
      <c r="F57" s="33">
        <v>19.579999999999998</v>
      </c>
      <c r="G57" s="33">
        <v>19.579999999999998</v>
      </c>
      <c r="H57" s="31">
        <v>19</v>
      </c>
    </row>
    <row r="58" spans="1:8" ht="15.75" thickBot="1">
      <c r="A58" s="198">
        <v>42</v>
      </c>
      <c r="B58" s="110" t="s">
        <v>780</v>
      </c>
      <c r="C58" s="182" t="s">
        <v>488</v>
      </c>
      <c r="D58" s="33">
        <v>34.28</v>
      </c>
      <c r="E58" s="33">
        <v>35.68</v>
      </c>
      <c r="F58" s="33">
        <v>35.68</v>
      </c>
      <c r="G58" s="33">
        <v>38.35</v>
      </c>
      <c r="H58" s="31">
        <v>38</v>
      </c>
    </row>
    <row r="59" spans="1:8" ht="21">
      <c r="A59" s="844"/>
      <c r="B59" s="844"/>
      <c r="C59" s="844"/>
      <c r="D59" s="844"/>
      <c r="E59" s="844"/>
      <c r="F59" s="201"/>
      <c r="G59" s="201"/>
      <c r="H59" s="201"/>
    </row>
    <row r="60" spans="1:8" ht="18" thickBot="1">
      <c r="A60" s="181"/>
      <c r="B60" s="61" t="s">
        <v>781</v>
      </c>
      <c r="C60" s="61" t="s">
        <v>258</v>
      </c>
      <c r="D60" s="61" t="str">
        <f>'[6]General Info'!D4</f>
        <v>FY 2008-2009</v>
      </c>
      <c r="E60" s="61" t="str">
        <f>'[6]General Info'!E4</f>
        <v>FY 2009-2010</v>
      </c>
      <c r="F60" s="61" t="str">
        <f>'[6]General Info'!F4</f>
        <v>FY 2010-2011</v>
      </c>
      <c r="G60" s="61" t="str">
        <f>'[6]General Info'!G4</f>
        <v>FY 2011-2012</v>
      </c>
      <c r="H60" s="61" t="str">
        <f>'[6]General Info'!H4</f>
        <v>FY 2012-2013</v>
      </c>
    </row>
    <row r="61" spans="1:8" ht="15.75" thickBot="1">
      <c r="A61" s="198">
        <v>43</v>
      </c>
      <c r="B61" s="110" t="s">
        <v>782</v>
      </c>
      <c r="C61" s="182" t="s">
        <v>252</v>
      </c>
      <c r="D61" s="33">
        <v>0</v>
      </c>
      <c r="E61" s="33" t="s">
        <v>251</v>
      </c>
      <c r="F61" s="33" t="s">
        <v>251</v>
      </c>
      <c r="G61" s="33" t="s">
        <v>251</v>
      </c>
      <c r="H61" s="33" t="s">
        <v>251</v>
      </c>
    </row>
    <row r="62" spans="1:8" ht="15.75" thickBot="1">
      <c r="A62" s="198">
        <v>44</v>
      </c>
      <c r="B62" s="110" t="s">
        <v>783</v>
      </c>
      <c r="C62" s="182" t="s">
        <v>252</v>
      </c>
      <c r="D62" s="33">
        <v>0</v>
      </c>
      <c r="E62" s="33" t="s">
        <v>251</v>
      </c>
      <c r="F62" s="33" t="s">
        <v>251</v>
      </c>
      <c r="G62" s="33" t="s">
        <v>251</v>
      </c>
      <c r="H62" s="33" t="s">
        <v>251</v>
      </c>
    </row>
    <row r="63" spans="1:8" ht="15.75" thickBot="1">
      <c r="A63" s="198">
        <v>45</v>
      </c>
      <c r="B63" s="110" t="s">
        <v>784</v>
      </c>
      <c r="C63" s="182" t="s">
        <v>252</v>
      </c>
      <c r="D63" s="33">
        <v>0</v>
      </c>
      <c r="E63" s="33" t="s">
        <v>251</v>
      </c>
      <c r="F63" s="33" t="s">
        <v>251</v>
      </c>
      <c r="G63" s="33" t="s">
        <v>251</v>
      </c>
      <c r="H63" s="33" t="s">
        <v>251</v>
      </c>
    </row>
    <row r="64" spans="1:8" ht="15.75" thickBot="1">
      <c r="A64" s="198">
        <v>46</v>
      </c>
      <c r="B64" s="110" t="s">
        <v>785</v>
      </c>
      <c r="C64" s="182" t="s">
        <v>252</v>
      </c>
      <c r="D64" s="33">
        <v>11.6</v>
      </c>
      <c r="E64" s="33">
        <v>13</v>
      </c>
      <c r="F64" s="33">
        <v>13</v>
      </c>
      <c r="G64" s="33">
        <v>14.79</v>
      </c>
      <c r="H64" s="33">
        <v>14.79</v>
      </c>
    </row>
    <row r="65" spans="1:256" ht="15.75" thickBot="1">
      <c r="A65" s="198">
        <v>47</v>
      </c>
      <c r="B65" s="110" t="s">
        <v>786</v>
      </c>
      <c r="C65" s="182" t="s">
        <v>252</v>
      </c>
      <c r="D65" s="33">
        <v>0</v>
      </c>
      <c r="E65" s="33" t="s">
        <v>251</v>
      </c>
      <c r="F65" s="33" t="s">
        <v>251</v>
      </c>
      <c r="G65" s="33" t="s">
        <v>251</v>
      </c>
      <c r="H65" s="33" t="s">
        <v>251</v>
      </c>
    </row>
    <row r="66" spans="1:256" s="285" customFormat="1" ht="15.75" thickBot="1">
      <c r="A66" s="283">
        <v>48</v>
      </c>
      <c r="B66" s="296" t="s">
        <v>787</v>
      </c>
      <c r="C66" s="297" t="s">
        <v>252</v>
      </c>
      <c r="D66" s="291">
        <f>IF(OR(D61="nd",D62="nd",D63="nd",D64="nd",D65="nd"),"nd",SUM(D61:D65))</f>
        <v>11.6</v>
      </c>
      <c r="E66" s="291">
        <f>IF(OR(E61="nd",E62="nd",E63="nd",E64="nd",E65="nd"),"nd",SUM(E61:E65))</f>
        <v>13</v>
      </c>
      <c r="F66" s="291">
        <f>IF(OR(F61="nd",F62="nd",F63="nd",F64="nd",F65="nd"),"nd",SUM(F61:F65))</f>
        <v>13</v>
      </c>
      <c r="G66" s="291">
        <f>IF(OR(G61="nd",G62="nd",G63="nd",G64="nd",G65="nd"),"nd",SUM(G61:G65))</f>
        <v>14.79</v>
      </c>
      <c r="H66" s="291">
        <f>IF(OR(H61="nd",H62="nd",H63="nd",H64="nd",H65="nd"),"nd",SUM(H61:H65))</f>
        <v>14.79</v>
      </c>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c r="AL66" s="284"/>
      <c r="AM66" s="284"/>
      <c r="AN66" s="284"/>
      <c r="AO66" s="284"/>
      <c r="AP66" s="284"/>
      <c r="AQ66" s="284"/>
      <c r="AR66" s="284"/>
      <c r="AS66" s="284"/>
      <c r="AT66" s="284"/>
      <c r="AU66" s="284"/>
      <c r="AV66" s="284"/>
      <c r="AW66" s="284"/>
      <c r="AX66" s="284"/>
      <c r="AY66" s="284"/>
      <c r="AZ66" s="284"/>
      <c r="BA66" s="284"/>
      <c r="BB66" s="284"/>
      <c r="BC66" s="284"/>
      <c r="BD66" s="284"/>
      <c r="BE66" s="284"/>
      <c r="BF66" s="284"/>
      <c r="BG66" s="284"/>
      <c r="BH66" s="284"/>
      <c r="BI66" s="284"/>
      <c r="BJ66" s="284"/>
      <c r="BK66" s="284"/>
      <c r="BL66" s="284"/>
      <c r="BM66" s="284"/>
      <c r="BN66" s="284"/>
      <c r="BO66" s="284"/>
      <c r="BP66" s="284"/>
      <c r="BQ66" s="284"/>
      <c r="BR66" s="284"/>
      <c r="BS66" s="284"/>
      <c r="BT66" s="284"/>
      <c r="BU66" s="284"/>
      <c r="BV66" s="284"/>
      <c r="BW66" s="284"/>
      <c r="BX66" s="284"/>
      <c r="BY66" s="284"/>
      <c r="BZ66" s="284"/>
      <c r="CA66" s="284"/>
      <c r="CB66" s="284"/>
      <c r="CC66" s="284"/>
      <c r="CD66" s="284"/>
      <c r="CE66" s="284"/>
      <c r="CF66" s="284"/>
      <c r="CG66" s="284"/>
      <c r="CH66" s="284"/>
      <c r="CI66" s="284"/>
      <c r="CJ66" s="284"/>
      <c r="CK66" s="284"/>
      <c r="CL66" s="284"/>
      <c r="CM66" s="284"/>
      <c r="CN66" s="284"/>
      <c r="CO66" s="284"/>
      <c r="CP66" s="284"/>
      <c r="CQ66" s="284"/>
      <c r="CR66" s="284"/>
      <c r="CS66" s="284"/>
      <c r="CT66" s="284"/>
      <c r="CU66" s="284"/>
      <c r="CV66" s="284"/>
      <c r="CW66" s="284"/>
      <c r="CX66" s="284"/>
      <c r="CY66" s="284"/>
      <c r="CZ66" s="284"/>
      <c r="DA66" s="284"/>
      <c r="DB66" s="284"/>
      <c r="DC66" s="284"/>
      <c r="DD66" s="284"/>
      <c r="DE66" s="284"/>
      <c r="DF66" s="284"/>
      <c r="DG66" s="284"/>
      <c r="DH66" s="284"/>
      <c r="DI66" s="284"/>
      <c r="DJ66" s="284"/>
      <c r="DK66" s="284"/>
      <c r="DL66" s="284"/>
      <c r="DM66" s="284"/>
      <c r="DN66" s="284"/>
      <c r="DO66" s="284"/>
      <c r="DP66" s="284"/>
      <c r="DQ66" s="284"/>
      <c r="DR66" s="284"/>
      <c r="DS66" s="284"/>
      <c r="DT66" s="284"/>
      <c r="DU66" s="284"/>
      <c r="DV66" s="284"/>
      <c r="DW66" s="284"/>
      <c r="DX66" s="284"/>
      <c r="DY66" s="284"/>
      <c r="DZ66" s="284"/>
      <c r="EA66" s="284"/>
      <c r="EB66" s="284"/>
      <c r="EC66" s="284"/>
      <c r="ED66" s="284"/>
      <c r="EE66" s="284"/>
      <c r="EF66" s="284"/>
      <c r="EG66" s="284"/>
      <c r="EH66" s="284"/>
      <c r="EI66" s="284"/>
      <c r="EJ66" s="284"/>
      <c r="EK66" s="284"/>
      <c r="EL66" s="284"/>
      <c r="EM66" s="284"/>
      <c r="EN66" s="284"/>
      <c r="EO66" s="284"/>
      <c r="EP66" s="284"/>
      <c r="EQ66" s="284"/>
      <c r="ER66" s="284"/>
      <c r="ES66" s="284"/>
      <c r="ET66" s="284"/>
      <c r="EU66" s="284"/>
      <c r="EV66" s="284"/>
      <c r="EW66" s="284"/>
      <c r="EX66" s="284"/>
      <c r="EY66" s="284"/>
      <c r="EZ66" s="284"/>
      <c r="FA66" s="284"/>
      <c r="FB66" s="284"/>
      <c r="FC66" s="284"/>
      <c r="FD66" s="284"/>
      <c r="FE66" s="284"/>
      <c r="FF66" s="284"/>
      <c r="FG66" s="284"/>
      <c r="FH66" s="284"/>
      <c r="FI66" s="284"/>
      <c r="FJ66" s="284"/>
      <c r="FK66" s="284"/>
      <c r="FL66" s="284"/>
      <c r="FM66" s="284"/>
      <c r="FN66" s="284"/>
      <c r="FO66" s="284"/>
      <c r="FP66" s="284"/>
      <c r="FQ66" s="284"/>
      <c r="FR66" s="284"/>
      <c r="FS66" s="284"/>
      <c r="FT66" s="284"/>
      <c r="FU66" s="284"/>
      <c r="FV66" s="284"/>
      <c r="FW66" s="284"/>
      <c r="FX66" s="284"/>
      <c r="FY66" s="284"/>
      <c r="FZ66" s="284"/>
      <c r="GA66" s="284"/>
      <c r="GB66" s="284"/>
      <c r="GC66" s="284"/>
      <c r="GD66" s="284"/>
      <c r="GE66" s="284"/>
      <c r="GF66" s="284"/>
      <c r="GG66" s="284"/>
      <c r="GH66" s="284"/>
      <c r="GI66" s="284"/>
      <c r="GJ66" s="284"/>
      <c r="GK66" s="284"/>
      <c r="GL66" s="284"/>
      <c r="GM66" s="284"/>
      <c r="GN66" s="284"/>
      <c r="GO66" s="284"/>
      <c r="GP66" s="284"/>
      <c r="GQ66" s="284"/>
      <c r="GR66" s="284"/>
      <c r="GS66" s="284"/>
      <c r="GT66" s="284"/>
      <c r="GU66" s="284"/>
      <c r="GV66" s="284"/>
      <c r="GW66" s="284"/>
      <c r="GX66" s="284"/>
      <c r="GY66" s="284"/>
      <c r="GZ66" s="284"/>
      <c r="HA66" s="284"/>
      <c r="HB66" s="284"/>
      <c r="HC66" s="284"/>
      <c r="HD66" s="284"/>
      <c r="HE66" s="284"/>
      <c r="HF66" s="284"/>
      <c r="HG66" s="284"/>
      <c r="HH66" s="284"/>
      <c r="HI66" s="284"/>
      <c r="HJ66" s="284"/>
      <c r="HK66" s="284"/>
      <c r="HL66" s="284"/>
      <c r="HM66" s="284"/>
      <c r="HN66" s="284"/>
      <c r="HO66" s="284"/>
      <c r="HP66" s="284"/>
      <c r="HQ66" s="284"/>
      <c r="HR66" s="284"/>
      <c r="HS66" s="284"/>
      <c r="HT66" s="284"/>
      <c r="HU66" s="284"/>
      <c r="HV66" s="284"/>
      <c r="HW66" s="284"/>
      <c r="HX66" s="284"/>
      <c r="HY66" s="284"/>
      <c r="HZ66" s="284"/>
      <c r="IA66" s="284"/>
      <c r="IB66" s="284"/>
      <c r="IC66" s="284"/>
      <c r="ID66" s="284"/>
      <c r="IE66" s="284"/>
      <c r="IF66" s="284"/>
      <c r="IG66" s="284"/>
      <c r="IH66" s="284"/>
      <c r="II66" s="284"/>
      <c r="IJ66" s="284"/>
      <c r="IK66" s="284"/>
      <c r="IL66" s="284"/>
      <c r="IM66" s="284"/>
      <c r="IN66" s="284"/>
      <c r="IO66" s="284"/>
      <c r="IP66" s="284"/>
      <c r="IQ66" s="284"/>
      <c r="IR66" s="284"/>
      <c r="IS66" s="284"/>
      <c r="IT66" s="284"/>
      <c r="IU66" s="284"/>
      <c r="IV66" s="284"/>
    </row>
    <row r="67" spans="1:256" ht="15.75" thickBot="1">
      <c r="A67" s="198">
        <v>49</v>
      </c>
      <c r="B67" s="110" t="s">
        <v>788</v>
      </c>
      <c r="C67" s="182" t="s">
        <v>252</v>
      </c>
      <c r="D67" s="33">
        <v>0</v>
      </c>
      <c r="E67" s="33">
        <v>10.4</v>
      </c>
      <c r="F67" s="33">
        <v>10.4</v>
      </c>
      <c r="G67" s="33">
        <v>14.79</v>
      </c>
      <c r="H67" s="33">
        <v>14.76</v>
      </c>
    </row>
    <row r="68" spans="1:256" ht="15.75" thickBot="1">
      <c r="A68" s="198">
        <v>50</v>
      </c>
      <c r="B68" s="110" t="s">
        <v>465</v>
      </c>
      <c r="C68" s="182" t="s">
        <v>466</v>
      </c>
      <c r="D68" s="33">
        <v>0</v>
      </c>
      <c r="E68" s="33">
        <v>16</v>
      </c>
      <c r="F68" s="33">
        <v>16</v>
      </c>
      <c r="G68" s="33" t="s">
        <v>250</v>
      </c>
      <c r="H68" s="33" t="s">
        <v>250</v>
      </c>
    </row>
    <row r="69" spans="1:256" ht="15.75" thickBot="1">
      <c r="A69" s="198">
        <v>51</v>
      </c>
      <c r="B69" s="110" t="s">
        <v>467</v>
      </c>
      <c r="C69" s="182" t="s">
        <v>466</v>
      </c>
      <c r="D69" s="142"/>
      <c r="E69" s="33">
        <v>1.5</v>
      </c>
      <c r="F69" s="33" t="s">
        <v>250</v>
      </c>
      <c r="G69" s="33">
        <v>0.5</v>
      </c>
      <c r="H69" s="33">
        <v>0.5</v>
      </c>
    </row>
    <row r="70" spans="1:256" ht="15.75" thickBot="1">
      <c r="A70" s="198">
        <v>52</v>
      </c>
      <c r="B70" s="110" t="s">
        <v>789</v>
      </c>
      <c r="C70" s="182" t="s">
        <v>459</v>
      </c>
      <c r="D70" s="189"/>
      <c r="E70" s="39" t="s">
        <v>697</v>
      </c>
      <c r="F70" s="39" t="s">
        <v>697</v>
      </c>
      <c r="G70" s="39" t="s">
        <v>697</v>
      </c>
      <c r="H70" s="39" t="s">
        <v>563</v>
      </c>
    </row>
    <row r="71" spans="1:256" ht="15.75" thickBot="1">
      <c r="A71" s="198">
        <v>53</v>
      </c>
      <c r="B71" s="110" t="s">
        <v>790</v>
      </c>
      <c r="C71" s="182" t="s">
        <v>252</v>
      </c>
      <c r="D71" s="33">
        <v>2.5</v>
      </c>
      <c r="E71" s="33" t="s">
        <v>251</v>
      </c>
      <c r="F71" s="33" t="s">
        <v>251</v>
      </c>
      <c r="G71" s="33">
        <v>17.79</v>
      </c>
      <c r="H71" s="33">
        <v>25</v>
      </c>
    </row>
    <row r="72" spans="1:256" ht="15.75" thickBot="1">
      <c r="A72" s="198">
        <v>54</v>
      </c>
      <c r="B72" s="110" t="s">
        <v>791</v>
      </c>
      <c r="C72" s="182" t="s">
        <v>466</v>
      </c>
      <c r="D72" s="31">
        <v>0</v>
      </c>
      <c r="E72" s="33">
        <v>150</v>
      </c>
      <c r="F72" s="33">
        <v>150</v>
      </c>
      <c r="G72" s="33">
        <v>95</v>
      </c>
      <c r="H72" s="33">
        <v>95</v>
      </c>
    </row>
    <row r="73" spans="1:256" ht="21">
      <c r="A73" s="844"/>
      <c r="B73" s="844"/>
      <c r="C73" s="844"/>
      <c r="D73" s="844"/>
      <c r="E73" s="844"/>
      <c r="F73" s="201"/>
      <c r="G73" s="201"/>
      <c r="H73" s="201"/>
    </row>
    <row r="74" spans="1:256" ht="18" thickBot="1">
      <c r="A74" s="181"/>
      <c r="B74" s="61" t="s">
        <v>792</v>
      </c>
      <c r="C74" s="61" t="s">
        <v>258</v>
      </c>
      <c r="D74" s="61" t="str">
        <f>'[6]General Info'!D4</f>
        <v>FY 2008-2009</v>
      </c>
      <c r="E74" s="61" t="str">
        <f>'[6]General Info'!E4</f>
        <v>FY 2009-2010</v>
      </c>
      <c r="F74" s="61" t="str">
        <f>'[6]General Info'!F4</f>
        <v>FY 2010-2011</v>
      </c>
      <c r="G74" s="61" t="str">
        <f>'[6]General Info'!G4</f>
        <v>FY 2011-2012</v>
      </c>
      <c r="H74" s="61" t="str">
        <f>'[6]General Info'!H4</f>
        <v>FY 2012-2013</v>
      </c>
    </row>
    <row r="75" spans="1:256" ht="15.75" thickBot="1">
      <c r="A75" s="198">
        <v>55</v>
      </c>
      <c r="B75" s="110" t="s">
        <v>793</v>
      </c>
      <c r="C75" s="182" t="s">
        <v>459</v>
      </c>
      <c r="D75" s="39" t="s">
        <v>697</v>
      </c>
      <c r="E75" s="39" t="s">
        <v>697</v>
      </c>
      <c r="F75" s="39" t="s">
        <v>697</v>
      </c>
      <c r="G75" s="39" t="s">
        <v>697</v>
      </c>
      <c r="H75" s="39" t="s">
        <v>563</v>
      </c>
    </row>
    <row r="76" spans="1:256" ht="15.75" thickBot="1">
      <c r="A76" s="198">
        <v>56</v>
      </c>
      <c r="B76" s="110" t="s">
        <v>794</v>
      </c>
      <c r="C76" s="182" t="s">
        <v>459</v>
      </c>
      <c r="D76" s="39" t="s">
        <v>697</v>
      </c>
      <c r="E76" s="39" t="s">
        <v>697</v>
      </c>
      <c r="F76" s="39" t="s">
        <v>697</v>
      </c>
      <c r="G76" s="39" t="s">
        <v>697</v>
      </c>
      <c r="H76" s="39" t="s">
        <v>697</v>
      </c>
    </row>
    <row r="77" spans="1:256" ht="15.75" thickBot="1">
      <c r="A77" s="198">
        <v>57</v>
      </c>
      <c r="B77" s="110" t="s">
        <v>795</v>
      </c>
      <c r="C77" s="182" t="s">
        <v>271</v>
      </c>
      <c r="D77" s="142"/>
      <c r="E77" s="31">
        <v>39</v>
      </c>
      <c r="F77" s="31">
        <v>39</v>
      </c>
      <c r="G77" s="31">
        <v>39</v>
      </c>
      <c r="H77" s="33">
        <v>39</v>
      </c>
    </row>
    <row r="78" spans="1:256" ht="15.75" thickBot="1">
      <c r="A78" s="198">
        <v>58</v>
      </c>
      <c r="B78" s="110" t="s">
        <v>796</v>
      </c>
      <c r="C78" s="182" t="s">
        <v>271</v>
      </c>
      <c r="D78" s="142"/>
      <c r="E78" s="31">
        <v>10</v>
      </c>
      <c r="F78" s="31">
        <v>6</v>
      </c>
      <c r="G78" s="31">
        <v>9</v>
      </c>
      <c r="H78" s="33">
        <v>12</v>
      </c>
    </row>
    <row r="79" spans="1:256" ht="21">
      <c r="A79" s="844"/>
      <c r="B79" s="844"/>
      <c r="C79" s="844"/>
      <c r="D79" s="844"/>
      <c r="E79" s="844"/>
      <c r="F79" s="201"/>
      <c r="G79" s="201"/>
      <c r="H79" s="201"/>
    </row>
    <row r="80" spans="1:256" ht="18" thickBot="1">
      <c r="A80" s="181"/>
      <c r="B80" s="61" t="s">
        <v>797</v>
      </c>
      <c r="C80" s="61" t="s">
        <v>258</v>
      </c>
      <c r="D80" s="61" t="str">
        <f>'[6]General Info'!D4</f>
        <v>FY 2008-2009</v>
      </c>
      <c r="E80" s="61" t="str">
        <f>'[6]General Info'!E4</f>
        <v>FY 2009-2010</v>
      </c>
      <c r="F80" s="61" t="str">
        <f>'[6]General Info'!F4</f>
        <v>FY 2010-2011</v>
      </c>
      <c r="G80" s="61" t="str">
        <f>'[6]General Info'!G4</f>
        <v>FY 2011-2012</v>
      </c>
      <c r="H80" s="61" t="str">
        <f>'[6]General Info'!H4</f>
        <v>FY 2012-2013</v>
      </c>
    </row>
    <row r="81" spans="1:8" ht="15.75" thickBot="1">
      <c r="A81" s="198">
        <v>59</v>
      </c>
      <c r="B81" s="110" t="s">
        <v>798</v>
      </c>
      <c r="C81" s="182" t="s">
        <v>268</v>
      </c>
      <c r="D81" s="33">
        <v>0</v>
      </c>
      <c r="E81" s="33" t="s">
        <v>251</v>
      </c>
      <c r="F81" s="33" t="s">
        <v>251</v>
      </c>
      <c r="G81" s="33" t="s">
        <v>251</v>
      </c>
      <c r="H81" s="33" t="s">
        <v>251</v>
      </c>
    </row>
    <row r="82" spans="1:8" ht="15.75" thickBot="1">
      <c r="A82" s="198">
        <v>60</v>
      </c>
      <c r="B82" s="110" t="s">
        <v>799</v>
      </c>
      <c r="C82" s="182" t="s">
        <v>271</v>
      </c>
      <c r="D82" s="142"/>
      <c r="E82" s="33" t="s">
        <v>251</v>
      </c>
      <c r="F82" s="33" t="s">
        <v>251</v>
      </c>
      <c r="G82" s="33" t="s">
        <v>251</v>
      </c>
      <c r="H82" s="33" t="s">
        <v>251</v>
      </c>
    </row>
    <row r="83" spans="1:8" ht="15.75" thickBot="1">
      <c r="A83" s="198">
        <v>61</v>
      </c>
      <c r="B83" s="110" t="s">
        <v>800</v>
      </c>
      <c r="C83" s="182" t="s">
        <v>252</v>
      </c>
      <c r="D83" s="33">
        <v>0</v>
      </c>
      <c r="E83" s="33" t="s">
        <v>251</v>
      </c>
      <c r="F83" s="33" t="s">
        <v>251</v>
      </c>
      <c r="G83" s="33" t="s">
        <v>251</v>
      </c>
      <c r="H83" s="33" t="s">
        <v>251</v>
      </c>
    </row>
    <row r="84" spans="1:8" ht="15.75" thickBot="1">
      <c r="A84" s="198">
        <v>62</v>
      </c>
      <c r="B84" s="110" t="s">
        <v>801</v>
      </c>
      <c r="C84" s="182" t="s">
        <v>271</v>
      </c>
      <c r="D84" s="31">
        <v>0</v>
      </c>
      <c r="E84" s="31">
        <v>20</v>
      </c>
      <c r="F84" s="31">
        <v>20</v>
      </c>
      <c r="G84" s="33" t="s">
        <v>251</v>
      </c>
      <c r="H84" s="33" t="s">
        <v>251</v>
      </c>
    </row>
    <row r="85" spans="1:8" ht="21">
      <c r="A85" s="844"/>
      <c r="B85" s="844"/>
      <c r="C85" s="844"/>
      <c r="D85" s="844"/>
      <c r="E85" s="844"/>
      <c r="F85" s="201"/>
      <c r="G85" s="201"/>
      <c r="H85" s="201"/>
    </row>
    <row r="86" spans="1:8" ht="18" thickBot="1">
      <c r="A86" s="181"/>
      <c r="B86" s="61" t="s">
        <v>802</v>
      </c>
      <c r="C86" s="61" t="s">
        <v>258</v>
      </c>
      <c r="D86" s="61" t="str">
        <f>'[6]General Info'!D4</f>
        <v>FY 2008-2009</v>
      </c>
      <c r="E86" s="61" t="str">
        <f>'[6]General Info'!E4</f>
        <v>FY 2009-2010</v>
      </c>
      <c r="F86" s="61" t="str">
        <f>'[6]General Info'!F4</f>
        <v>FY 2010-2011</v>
      </c>
      <c r="G86" s="61" t="str">
        <f>'[6]General Info'!G4</f>
        <v>FY 2011-2012</v>
      </c>
      <c r="H86" s="61" t="str">
        <f>'[6]General Info'!H4</f>
        <v>FY 2012-2013</v>
      </c>
    </row>
    <row r="87" spans="1:8" ht="15.75" thickBot="1">
      <c r="A87" s="198">
        <v>63</v>
      </c>
      <c r="B87" s="110" t="s">
        <v>803</v>
      </c>
      <c r="C87" s="182" t="s">
        <v>459</v>
      </c>
      <c r="D87" s="189"/>
      <c r="E87" s="39" t="s">
        <v>563</v>
      </c>
      <c r="F87" s="39" t="s">
        <v>563</v>
      </c>
      <c r="G87" s="39" t="s">
        <v>563</v>
      </c>
      <c r="H87" s="39" t="s">
        <v>563</v>
      </c>
    </row>
    <row r="88" spans="1:8" ht="15.75" thickBot="1">
      <c r="A88" s="198">
        <v>64</v>
      </c>
      <c r="B88" s="110" t="s">
        <v>804</v>
      </c>
      <c r="C88" s="182" t="s">
        <v>459</v>
      </c>
      <c r="D88" s="189"/>
      <c r="E88" s="39" t="s">
        <v>563</v>
      </c>
      <c r="F88" s="39" t="s">
        <v>563</v>
      </c>
      <c r="G88" s="39" t="s">
        <v>563</v>
      </c>
      <c r="H88" s="39" t="s">
        <v>563</v>
      </c>
    </row>
    <row r="89" spans="1:8" ht="18" thickBot="1">
      <c r="A89" s="181"/>
      <c r="B89" s="61" t="s">
        <v>805</v>
      </c>
      <c r="C89" s="61" t="s">
        <v>258</v>
      </c>
      <c r="D89" s="61" t="str">
        <f>'[6]General Info'!D4</f>
        <v>FY 2008-2009</v>
      </c>
      <c r="E89" s="61" t="str">
        <f>'[6]General Info'!E4</f>
        <v>FY 2009-2010</v>
      </c>
      <c r="F89" s="61" t="str">
        <f>'[6]General Info'!F4</f>
        <v>FY 2010-2011</v>
      </c>
      <c r="G89" s="61" t="str">
        <f>'[6]General Info'!G4</f>
        <v>FY 2011-2012</v>
      </c>
      <c r="H89" s="61" t="str">
        <f>'[6]General Info'!H4</f>
        <v>FY 2012-2013</v>
      </c>
    </row>
    <row r="90" spans="1:8" ht="15.75" thickBot="1">
      <c r="A90" s="198">
        <v>65</v>
      </c>
      <c r="B90" s="110" t="s">
        <v>806</v>
      </c>
      <c r="C90" s="182" t="s">
        <v>459</v>
      </c>
      <c r="D90" s="189"/>
      <c r="E90" s="39" t="s">
        <v>563</v>
      </c>
      <c r="F90" s="39" t="s">
        <v>563</v>
      </c>
      <c r="G90" s="39" t="s">
        <v>563</v>
      </c>
      <c r="H90" s="39" t="s">
        <v>563</v>
      </c>
    </row>
    <row r="91" spans="1:8" ht="21.75" thickBot="1">
      <c r="A91" s="186"/>
      <c r="B91" s="202" t="s">
        <v>807</v>
      </c>
      <c r="C91" s="113"/>
      <c r="D91" s="203"/>
      <c r="E91" s="203"/>
      <c r="F91" s="203"/>
      <c r="G91" s="203"/>
      <c r="H91" s="203"/>
    </row>
    <row r="92" spans="1:8" ht="15.75" thickBot="1">
      <c r="A92" s="198">
        <v>66</v>
      </c>
      <c r="B92" s="110" t="s">
        <v>808</v>
      </c>
      <c r="C92" s="182" t="s">
        <v>271</v>
      </c>
      <c r="D92" s="31">
        <v>1500</v>
      </c>
      <c r="E92" s="31">
        <v>400</v>
      </c>
      <c r="F92" s="31">
        <v>400</v>
      </c>
      <c r="G92" s="31">
        <v>377</v>
      </c>
      <c r="H92" s="31">
        <v>311</v>
      </c>
    </row>
    <row r="93" spans="1:8" ht="15.75" thickBot="1">
      <c r="A93" s="198">
        <v>67</v>
      </c>
      <c r="B93" s="110" t="s">
        <v>809</v>
      </c>
      <c r="C93" s="182" t="s">
        <v>268</v>
      </c>
      <c r="D93" s="33">
        <v>0</v>
      </c>
      <c r="E93" s="33" t="s">
        <v>250</v>
      </c>
      <c r="F93" s="33" t="s">
        <v>250</v>
      </c>
      <c r="G93" s="33" t="s">
        <v>250</v>
      </c>
      <c r="H93" s="33">
        <v>8.25</v>
      </c>
    </row>
    <row r="94" spans="1:8" ht="21.75" thickBot="1">
      <c r="A94" s="186"/>
      <c r="B94" s="202" t="s">
        <v>810</v>
      </c>
      <c r="C94" s="113"/>
      <c r="D94" s="203"/>
      <c r="E94" s="203"/>
      <c r="F94" s="203"/>
      <c r="G94" s="203"/>
      <c r="H94" s="203"/>
    </row>
    <row r="95" spans="1:8" ht="15.75" thickBot="1">
      <c r="A95" s="198">
        <v>68</v>
      </c>
      <c r="B95" s="110" t="s">
        <v>808</v>
      </c>
      <c r="C95" s="182" t="s">
        <v>271</v>
      </c>
      <c r="D95" s="142"/>
      <c r="E95" s="33" t="s">
        <v>250</v>
      </c>
      <c r="F95" s="33" t="s">
        <v>250</v>
      </c>
      <c r="G95" s="33" t="s">
        <v>250</v>
      </c>
      <c r="H95" s="33" t="s">
        <v>250</v>
      </c>
    </row>
    <row r="96" spans="1:8" ht="15.75" thickBot="1">
      <c r="A96" s="198">
        <v>69</v>
      </c>
      <c r="B96" s="110" t="s">
        <v>809</v>
      </c>
      <c r="C96" s="182" t="s">
        <v>268</v>
      </c>
      <c r="D96" s="142"/>
      <c r="E96" s="33" t="s">
        <v>250</v>
      </c>
      <c r="F96" s="33" t="s">
        <v>250</v>
      </c>
      <c r="G96" s="33" t="s">
        <v>250</v>
      </c>
      <c r="H96" s="33" t="s">
        <v>250</v>
      </c>
    </row>
    <row r="97" spans="1:8" ht="21">
      <c r="A97" s="186"/>
      <c r="B97" s="187"/>
      <c r="C97" s="187"/>
      <c r="D97" s="187"/>
      <c r="E97" s="188"/>
      <c r="F97" s="188"/>
      <c r="G97" s="188"/>
      <c r="H97" s="188"/>
    </row>
    <row r="98" spans="1:8" ht="15.75" thickBot="1">
      <c r="A98" s="839" t="s">
        <v>811</v>
      </c>
      <c r="B98" s="839"/>
      <c r="C98" s="839"/>
      <c r="D98" s="839"/>
      <c r="E98" s="839"/>
      <c r="F98" s="80"/>
      <c r="G98" s="80"/>
      <c r="H98" s="80"/>
    </row>
    <row r="99" spans="1:8" ht="19.5" thickBot="1">
      <c r="A99" s="179">
        <v>3</v>
      </c>
      <c r="B99" s="204" t="s">
        <v>812</v>
      </c>
      <c r="C99" s="205"/>
      <c r="D99" s="205"/>
      <c r="E99" s="205"/>
      <c r="F99" s="205"/>
      <c r="G99" s="205"/>
      <c r="H99" s="205"/>
    </row>
    <row r="100" spans="1:8" ht="18" thickBot="1">
      <c r="A100" s="181"/>
      <c r="B100" s="61" t="s">
        <v>813</v>
      </c>
      <c r="C100" s="61" t="s">
        <v>258</v>
      </c>
      <c r="D100" s="61" t="str">
        <f>'[6]General Info'!D4</f>
        <v>FY 2008-2009</v>
      </c>
      <c r="E100" s="61" t="str">
        <f>'[6]General Info'!E4</f>
        <v>FY 2009-2010</v>
      </c>
      <c r="F100" s="61" t="str">
        <f>'[6]General Info'!F4</f>
        <v>FY 2010-2011</v>
      </c>
      <c r="G100" s="61" t="str">
        <f>'[6]General Info'!G4</f>
        <v>FY 2011-2012</v>
      </c>
      <c r="H100" s="61" t="str">
        <f>'[6]General Info'!H4</f>
        <v>FY 2012-2013</v>
      </c>
    </row>
    <row r="101" spans="1:8" ht="15.75" thickBot="1">
      <c r="A101" s="198">
        <v>70</v>
      </c>
      <c r="B101" s="110" t="s">
        <v>814</v>
      </c>
      <c r="C101" s="182" t="s">
        <v>459</v>
      </c>
      <c r="D101" s="39" t="s">
        <v>563</v>
      </c>
      <c r="E101" s="39" t="s">
        <v>563</v>
      </c>
      <c r="F101" s="39" t="s">
        <v>563</v>
      </c>
      <c r="G101" s="39" t="s">
        <v>563</v>
      </c>
      <c r="H101" s="39" t="s">
        <v>563</v>
      </c>
    </row>
    <row r="102" spans="1:8" ht="18" thickBot="1">
      <c r="A102" s="198">
        <v>71</v>
      </c>
      <c r="B102" s="183" t="s">
        <v>815</v>
      </c>
      <c r="C102" s="182" t="s">
        <v>488</v>
      </c>
      <c r="D102" s="206"/>
      <c r="E102" s="33" t="s">
        <v>250</v>
      </c>
      <c r="F102" s="33" t="s">
        <v>250</v>
      </c>
      <c r="G102" s="33" t="s">
        <v>250</v>
      </c>
      <c r="H102" s="33">
        <v>3.85</v>
      </c>
    </row>
    <row r="103" spans="1:8" ht="18" thickBot="1">
      <c r="A103" s="198">
        <v>72</v>
      </c>
      <c r="B103" s="183" t="s">
        <v>816</v>
      </c>
      <c r="C103" s="182" t="s">
        <v>488</v>
      </c>
      <c r="D103" s="206"/>
      <c r="E103" s="33" t="s">
        <v>250</v>
      </c>
      <c r="F103" s="33" t="s">
        <v>250</v>
      </c>
      <c r="G103" s="33" t="s">
        <v>250</v>
      </c>
      <c r="H103" s="33">
        <v>26.5</v>
      </c>
    </row>
    <row r="104" spans="1:8" ht="18" thickBot="1">
      <c r="A104" s="198">
        <v>73</v>
      </c>
      <c r="B104" s="183" t="s">
        <v>817</v>
      </c>
      <c r="C104" s="182" t="s">
        <v>488</v>
      </c>
      <c r="D104" s="33">
        <v>24</v>
      </c>
      <c r="E104" s="33">
        <v>23</v>
      </c>
      <c r="F104" s="33">
        <v>25</v>
      </c>
      <c r="G104" s="33">
        <v>25</v>
      </c>
      <c r="H104" s="33">
        <v>35.5</v>
      </c>
    </row>
    <row r="105" spans="1:8" ht="18" thickBot="1">
      <c r="A105" s="198">
        <v>74</v>
      </c>
      <c r="B105" s="183" t="s">
        <v>818</v>
      </c>
      <c r="C105" s="182" t="s">
        <v>488</v>
      </c>
      <c r="D105" s="207"/>
      <c r="E105" s="33" t="s">
        <v>250</v>
      </c>
      <c r="F105" s="33">
        <v>0.2</v>
      </c>
      <c r="G105" s="33" t="s">
        <v>250</v>
      </c>
      <c r="H105" s="33">
        <v>1</v>
      </c>
    </row>
    <row r="106" spans="1:8" ht="18" thickBot="1">
      <c r="A106" s="198">
        <v>75</v>
      </c>
      <c r="B106" s="183" t="s">
        <v>819</v>
      </c>
      <c r="C106" s="194" t="s">
        <v>820</v>
      </c>
      <c r="D106" s="206"/>
      <c r="E106" s="33" t="s">
        <v>250</v>
      </c>
      <c r="F106" s="33" t="s">
        <v>250</v>
      </c>
      <c r="G106" s="33" t="s">
        <v>250</v>
      </c>
      <c r="H106" s="33">
        <v>15.5</v>
      </c>
    </row>
    <row r="107" spans="1:8" ht="18" thickBot="1">
      <c r="A107" s="198">
        <v>76</v>
      </c>
      <c r="B107" s="183" t="s">
        <v>821</v>
      </c>
      <c r="C107" s="194" t="s">
        <v>820</v>
      </c>
      <c r="D107" s="206"/>
      <c r="E107" s="33" t="s">
        <v>250</v>
      </c>
      <c r="F107" s="33" t="s">
        <v>250</v>
      </c>
      <c r="G107" s="33" t="s">
        <v>250</v>
      </c>
      <c r="H107" s="33">
        <v>2</v>
      </c>
    </row>
    <row r="108" spans="1:8" ht="18" thickBot="1">
      <c r="A108" s="198">
        <v>77</v>
      </c>
      <c r="B108" s="183" t="s">
        <v>822</v>
      </c>
      <c r="C108" s="194" t="s">
        <v>820</v>
      </c>
      <c r="D108" s="33">
        <v>13.7</v>
      </c>
      <c r="E108" s="33">
        <v>17.5</v>
      </c>
      <c r="F108" s="33">
        <v>17.5</v>
      </c>
      <c r="G108" s="33">
        <v>17.5</v>
      </c>
      <c r="H108" s="33">
        <v>17.5</v>
      </c>
    </row>
    <row r="109" spans="1:8" ht="15.75" thickBot="1">
      <c r="A109" s="198">
        <v>78</v>
      </c>
      <c r="B109" s="110" t="s">
        <v>823</v>
      </c>
      <c r="C109" s="182" t="s">
        <v>459</v>
      </c>
      <c r="D109" s="39" t="s">
        <v>697</v>
      </c>
      <c r="E109" s="39" t="s">
        <v>563</v>
      </c>
      <c r="F109" s="39" t="s">
        <v>563</v>
      </c>
      <c r="G109" s="39" t="s">
        <v>563</v>
      </c>
      <c r="H109" s="39" t="s">
        <v>563</v>
      </c>
    </row>
    <row r="110" spans="1:8" ht="18" thickBot="1">
      <c r="A110" s="198">
        <v>79</v>
      </c>
      <c r="B110" s="183" t="s">
        <v>824</v>
      </c>
      <c r="C110" s="182" t="s">
        <v>488</v>
      </c>
      <c r="D110" s="33">
        <v>0</v>
      </c>
      <c r="E110" s="33">
        <v>0.2</v>
      </c>
      <c r="F110" s="33">
        <v>0.2</v>
      </c>
      <c r="G110" s="33">
        <v>0.2</v>
      </c>
      <c r="H110" s="33">
        <v>35.5</v>
      </c>
    </row>
    <row r="111" spans="1:8" ht="18" thickBot="1">
      <c r="A111" s="198">
        <v>80</v>
      </c>
      <c r="B111" s="183" t="s">
        <v>825</v>
      </c>
      <c r="C111" s="194" t="s">
        <v>820</v>
      </c>
      <c r="D111" s="33">
        <v>0</v>
      </c>
      <c r="E111" s="33" t="s">
        <v>250</v>
      </c>
      <c r="F111" s="33" t="s">
        <v>250</v>
      </c>
      <c r="G111" s="33" t="s">
        <v>250</v>
      </c>
      <c r="H111" s="33">
        <v>17.5</v>
      </c>
    </row>
    <row r="112" spans="1:8" ht="15.75" thickBot="1">
      <c r="A112" s="198">
        <v>81</v>
      </c>
      <c r="B112" s="110" t="s">
        <v>826</v>
      </c>
      <c r="C112" s="182" t="s">
        <v>459</v>
      </c>
      <c r="D112" s="39" t="s">
        <v>697</v>
      </c>
      <c r="E112" s="39" t="s">
        <v>563</v>
      </c>
      <c r="F112" s="39" t="s">
        <v>563</v>
      </c>
      <c r="G112" s="39" t="s">
        <v>563</v>
      </c>
      <c r="H112" s="39" t="s">
        <v>697</v>
      </c>
    </row>
    <row r="113" spans="1:8" ht="18" thickBot="1">
      <c r="A113" s="198">
        <v>82</v>
      </c>
      <c r="B113" s="183" t="s">
        <v>827</v>
      </c>
      <c r="C113" s="194" t="s">
        <v>488</v>
      </c>
      <c r="D113" s="33">
        <v>0</v>
      </c>
      <c r="E113" s="33">
        <v>1.9</v>
      </c>
      <c r="F113" s="33">
        <v>1.9</v>
      </c>
      <c r="G113" s="33">
        <v>1.9</v>
      </c>
      <c r="H113" s="208"/>
    </row>
    <row r="114" spans="1:8" ht="18" thickBot="1">
      <c r="A114" s="198">
        <v>83</v>
      </c>
      <c r="B114" s="183" t="s">
        <v>828</v>
      </c>
      <c r="C114" s="194" t="s">
        <v>820</v>
      </c>
      <c r="D114" s="33">
        <v>0</v>
      </c>
      <c r="E114" s="33" t="s">
        <v>250</v>
      </c>
      <c r="F114" s="33" t="s">
        <v>250</v>
      </c>
      <c r="G114" s="33">
        <v>0.5</v>
      </c>
      <c r="H114" s="208"/>
    </row>
    <row r="115" spans="1:8" ht="18" thickBot="1">
      <c r="A115" s="181"/>
      <c r="B115" s="61" t="s">
        <v>829</v>
      </c>
      <c r="C115" s="61" t="s">
        <v>258</v>
      </c>
      <c r="D115" s="61" t="str">
        <f>'[6]General Info'!D4</f>
        <v>FY 2008-2009</v>
      </c>
      <c r="E115" s="61" t="str">
        <f>'[6]General Info'!E4</f>
        <v>FY 2009-2010</v>
      </c>
      <c r="F115" s="61" t="str">
        <f>'[6]General Info'!F4</f>
        <v>FY 2010-2011</v>
      </c>
      <c r="G115" s="61" t="str">
        <f>'[6]General Info'!G4</f>
        <v>FY 2011-2012</v>
      </c>
      <c r="H115" s="61" t="str">
        <f>'[6]General Info'!H4</f>
        <v>FY 2012-2013</v>
      </c>
    </row>
    <row r="116" spans="1:8" ht="15.75" thickBot="1">
      <c r="A116" s="198">
        <v>84</v>
      </c>
      <c r="B116" s="110" t="s">
        <v>830</v>
      </c>
      <c r="C116" s="182" t="s">
        <v>459</v>
      </c>
      <c r="D116" s="189"/>
      <c r="E116" s="39" t="s">
        <v>563</v>
      </c>
      <c r="F116" s="39" t="s">
        <v>563</v>
      </c>
      <c r="G116" s="39" t="s">
        <v>563</v>
      </c>
      <c r="H116" s="39" t="s">
        <v>563</v>
      </c>
    </row>
    <row r="117" spans="1:8" ht="15.75" thickBot="1">
      <c r="A117" s="198">
        <v>85</v>
      </c>
      <c r="B117" s="110" t="s">
        <v>831</v>
      </c>
      <c r="C117" s="182" t="s">
        <v>459</v>
      </c>
      <c r="D117" s="189"/>
      <c r="E117" s="39" t="s">
        <v>697</v>
      </c>
      <c r="F117" s="39" t="s">
        <v>697</v>
      </c>
      <c r="G117" s="39" t="s">
        <v>697</v>
      </c>
      <c r="H117" s="39" t="s">
        <v>697</v>
      </c>
    </row>
    <row r="118" spans="1:8" ht="15.75" thickBot="1">
      <c r="A118" s="198">
        <v>86</v>
      </c>
      <c r="B118" s="110" t="s">
        <v>832</v>
      </c>
      <c r="C118" s="182" t="s">
        <v>271</v>
      </c>
      <c r="D118" s="142"/>
      <c r="E118" s="31">
        <v>2</v>
      </c>
      <c r="F118" s="31">
        <v>3</v>
      </c>
      <c r="G118" s="31">
        <v>2</v>
      </c>
      <c r="H118" s="31">
        <v>2</v>
      </c>
    </row>
    <row r="119" spans="1:8" ht="15.75" thickBot="1">
      <c r="A119" s="198">
        <v>87</v>
      </c>
      <c r="B119" s="110" t="s">
        <v>833</v>
      </c>
      <c r="C119" s="182" t="s">
        <v>271</v>
      </c>
      <c r="D119" s="31">
        <v>12734</v>
      </c>
      <c r="E119" s="31">
        <v>14925</v>
      </c>
      <c r="F119" s="31">
        <v>15299</v>
      </c>
      <c r="G119" s="31">
        <v>14072</v>
      </c>
      <c r="H119" s="31">
        <v>14215</v>
      </c>
    </row>
    <row r="120" spans="1:8" ht="15.75" thickBot="1">
      <c r="A120" s="198">
        <v>88</v>
      </c>
      <c r="B120" s="110" t="s">
        <v>834</v>
      </c>
      <c r="C120" s="182" t="s">
        <v>271</v>
      </c>
      <c r="D120" s="31">
        <v>0</v>
      </c>
      <c r="E120" s="33" t="s">
        <v>250</v>
      </c>
      <c r="F120" s="33" t="s">
        <v>250</v>
      </c>
      <c r="G120" s="31">
        <v>6926</v>
      </c>
      <c r="H120" s="31">
        <v>11882</v>
      </c>
    </row>
    <row r="121" spans="1:8" ht="15.75" thickBot="1">
      <c r="A121" s="198">
        <v>89</v>
      </c>
      <c r="B121" s="110" t="s">
        <v>835</v>
      </c>
      <c r="C121" s="182" t="s">
        <v>271</v>
      </c>
      <c r="D121" s="31">
        <v>0</v>
      </c>
      <c r="E121" s="33" t="s">
        <v>250</v>
      </c>
      <c r="F121" s="33" t="s">
        <v>250</v>
      </c>
      <c r="G121" s="31">
        <v>302</v>
      </c>
      <c r="H121" s="31">
        <v>2536</v>
      </c>
    </row>
    <row r="122" spans="1:8" ht="21.75" thickBot="1">
      <c r="A122" s="198">
        <v>90</v>
      </c>
      <c r="B122" s="209" t="s">
        <v>836</v>
      </c>
      <c r="C122" s="210" t="s">
        <v>271</v>
      </c>
      <c r="D122" s="211"/>
      <c r="E122" s="33" t="s">
        <v>250</v>
      </c>
      <c r="F122" s="33" t="s">
        <v>250</v>
      </c>
      <c r="G122" s="31">
        <v>212</v>
      </c>
      <c r="H122" s="31">
        <v>315</v>
      </c>
    </row>
    <row r="123" spans="1:8" ht="15.75" thickBot="1">
      <c r="A123" s="198">
        <v>91</v>
      </c>
      <c r="B123" s="110" t="s">
        <v>837</v>
      </c>
      <c r="C123" s="182" t="s">
        <v>271</v>
      </c>
      <c r="D123" s="142"/>
      <c r="E123" s="33" t="s">
        <v>250</v>
      </c>
      <c r="F123" s="33" t="s">
        <v>250</v>
      </c>
      <c r="G123" s="33" t="s">
        <v>250</v>
      </c>
      <c r="H123" s="31">
        <v>1</v>
      </c>
    </row>
    <row r="124" spans="1:8" ht="15.75" thickBot="1">
      <c r="A124" s="198">
        <v>92</v>
      </c>
      <c r="B124" s="110" t="s">
        <v>838</v>
      </c>
      <c r="C124" s="182" t="s">
        <v>459</v>
      </c>
      <c r="D124" s="39" t="s">
        <v>697</v>
      </c>
      <c r="E124" s="39" t="s">
        <v>563</v>
      </c>
      <c r="F124" s="39" t="s">
        <v>563</v>
      </c>
      <c r="G124" s="39" t="s">
        <v>563</v>
      </c>
      <c r="H124" s="39" t="s">
        <v>563</v>
      </c>
    </row>
    <row r="125" spans="1:8" ht="18" thickBot="1">
      <c r="A125" s="198">
        <v>93</v>
      </c>
      <c r="B125" s="209" t="s">
        <v>839</v>
      </c>
      <c r="C125" s="212" t="s">
        <v>748</v>
      </c>
      <c r="D125" s="184"/>
      <c r="E125" s="39" t="s">
        <v>755</v>
      </c>
      <c r="F125" s="39" t="s">
        <v>755</v>
      </c>
      <c r="G125" s="39" t="s">
        <v>755</v>
      </c>
      <c r="H125" s="39" t="s">
        <v>755</v>
      </c>
    </row>
    <row r="126" spans="1:8" ht="21">
      <c r="A126" s="186"/>
      <c r="B126" s="193" t="s">
        <v>840</v>
      </c>
      <c r="C126" s="213"/>
      <c r="D126" s="214"/>
      <c r="E126" s="193"/>
      <c r="F126" s="193"/>
      <c r="G126" s="193"/>
      <c r="H126" s="193"/>
    </row>
    <row r="127" spans="1:8" ht="18" thickBot="1">
      <c r="A127" s="181"/>
      <c r="B127" s="61" t="s">
        <v>841</v>
      </c>
      <c r="C127" s="61" t="s">
        <v>258</v>
      </c>
      <c r="D127" s="61" t="str">
        <f>'[6]General Info'!D4</f>
        <v>FY 2008-2009</v>
      </c>
      <c r="E127" s="61" t="str">
        <f>'[6]General Info'!E4</f>
        <v>FY 2009-2010</v>
      </c>
      <c r="F127" s="61" t="str">
        <f>'[6]General Info'!F4</f>
        <v>FY 2010-2011</v>
      </c>
      <c r="G127" s="61" t="str">
        <f>'[6]General Info'!G4</f>
        <v>FY 2011-2012</v>
      </c>
      <c r="H127" s="61" t="str">
        <f>'[6]General Info'!H4</f>
        <v>FY 2012-2013</v>
      </c>
    </row>
    <row r="128" spans="1:8" ht="15.75" thickBot="1">
      <c r="A128" s="198">
        <v>94</v>
      </c>
      <c r="B128" s="110" t="s">
        <v>842</v>
      </c>
      <c r="C128" s="182" t="s">
        <v>459</v>
      </c>
      <c r="D128" s="189"/>
      <c r="E128" s="39" t="s">
        <v>697</v>
      </c>
      <c r="F128" s="39" t="s">
        <v>697</v>
      </c>
      <c r="G128" s="39" t="s">
        <v>697</v>
      </c>
      <c r="H128" s="39" t="s">
        <v>697</v>
      </c>
    </row>
    <row r="129" spans="1:8" ht="18" thickBot="1">
      <c r="A129" s="198">
        <v>95</v>
      </c>
      <c r="B129" s="199" t="s">
        <v>843</v>
      </c>
      <c r="C129" s="184" t="s">
        <v>844</v>
      </c>
      <c r="D129" s="185"/>
      <c r="E129" s="185"/>
      <c r="F129" s="185"/>
      <c r="G129" s="185"/>
      <c r="H129" s="185"/>
    </row>
    <row r="130" spans="1:8" ht="18" thickBot="1">
      <c r="A130" s="198">
        <v>96</v>
      </c>
      <c r="B130" s="199" t="s">
        <v>845</v>
      </c>
      <c r="C130" s="184" t="s">
        <v>844</v>
      </c>
      <c r="D130" s="185"/>
      <c r="E130" s="185"/>
      <c r="F130" s="185"/>
      <c r="G130" s="185"/>
      <c r="H130" s="185"/>
    </row>
    <row r="131" spans="1:8" ht="15.75" thickBot="1">
      <c r="A131" s="198">
        <v>97</v>
      </c>
      <c r="B131" s="110" t="s">
        <v>846</v>
      </c>
      <c r="C131" s="182" t="s">
        <v>459</v>
      </c>
      <c r="D131" s="189"/>
      <c r="E131" s="39" t="s">
        <v>697</v>
      </c>
      <c r="F131" s="39" t="s">
        <v>697</v>
      </c>
      <c r="G131" s="39" t="s">
        <v>697</v>
      </c>
      <c r="H131" s="39" t="s">
        <v>697</v>
      </c>
    </row>
    <row r="132" spans="1:8" ht="18" thickBot="1">
      <c r="A132" s="198">
        <v>98</v>
      </c>
      <c r="B132" s="183" t="s">
        <v>847</v>
      </c>
      <c r="C132" s="215" t="s">
        <v>271</v>
      </c>
      <c r="D132" s="185"/>
      <c r="E132" s="185"/>
      <c r="F132" s="185"/>
      <c r="G132" s="185"/>
      <c r="H132" s="185"/>
    </row>
    <row r="133" spans="1:8" ht="18" thickBot="1">
      <c r="A133" s="198">
        <v>99</v>
      </c>
      <c r="B133" s="183" t="s">
        <v>848</v>
      </c>
      <c r="C133" s="215" t="s">
        <v>271</v>
      </c>
      <c r="D133" s="185"/>
      <c r="E133" s="185"/>
      <c r="F133" s="185"/>
      <c r="G133" s="185"/>
      <c r="H133" s="185"/>
    </row>
    <row r="134" spans="1:8" ht="15.75" thickBot="1">
      <c r="A134" s="198">
        <v>100</v>
      </c>
      <c r="B134" s="110" t="s">
        <v>849</v>
      </c>
      <c r="C134" s="182" t="s">
        <v>459</v>
      </c>
      <c r="D134" s="189"/>
      <c r="E134" s="33" t="s">
        <v>563</v>
      </c>
      <c r="F134" s="33" t="s">
        <v>563</v>
      </c>
      <c r="G134" s="33" t="s">
        <v>697</v>
      </c>
      <c r="H134" s="39" t="s">
        <v>697</v>
      </c>
    </row>
    <row r="135" spans="1:8" ht="18" thickBot="1">
      <c r="A135" s="198">
        <v>101</v>
      </c>
      <c r="B135" s="199" t="s">
        <v>850</v>
      </c>
      <c r="C135" s="182" t="s">
        <v>252</v>
      </c>
      <c r="D135" s="185"/>
      <c r="E135" s="31">
        <v>0</v>
      </c>
      <c r="F135" s="31">
        <v>0</v>
      </c>
      <c r="G135" s="185"/>
      <c r="H135" s="185"/>
    </row>
    <row r="136" spans="1:8" ht="18" thickBot="1">
      <c r="A136" s="198">
        <v>102</v>
      </c>
      <c r="B136" s="199" t="s">
        <v>851</v>
      </c>
      <c r="C136" s="194" t="s">
        <v>748</v>
      </c>
      <c r="D136" s="184"/>
      <c r="E136" s="31">
        <v>1</v>
      </c>
      <c r="F136" s="31">
        <v>1</v>
      </c>
      <c r="G136" s="184"/>
      <c r="H136" s="184"/>
    </row>
    <row r="137" spans="1:8" ht="21">
      <c r="A137" s="186"/>
      <c r="B137" s="193" t="s">
        <v>852</v>
      </c>
      <c r="C137" s="187"/>
      <c r="D137" s="187"/>
      <c r="E137" s="188"/>
      <c r="F137" s="188"/>
      <c r="G137" s="188"/>
      <c r="H137" s="188"/>
    </row>
    <row r="138" spans="1:8" ht="18" thickBot="1">
      <c r="A138" s="181"/>
      <c r="B138" s="61" t="s">
        <v>853</v>
      </c>
      <c r="C138" s="61" t="s">
        <v>258</v>
      </c>
      <c r="D138" s="61" t="str">
        <f>'[6]General Info'!D4</f>
        <v>FY 2008-2009</v>
      </c>
      <c r="E138" s="61" t="str">
        <f>'[6]General Info'!E4</f>
        <v>FY 2009-2010</v>
      </c>
      <c r="F138" s="61" t="str">
        <f>'[6]General Info'!F4</f>
        <v>FY 2010-2011</v>
      </c>
      <c r="G138" s="61" t="str">
        <f>'[6]General Info'!G4</f>
        <v>FY 2011-2012</v>
      </c>
      <c r="H138" s="61" t="str">
        <f>'[6]General Info'!H4</f>
        <v>FY 2012-2013</v>
      </c>
    </row>
    <row r="139" spans="1:8" ht="15.75" thickBot="1">
      <c r="A139" s="198">
        <v>103</v>
      </c>
      <c r="B139" s="110" t="s">
        <v>854</v>
      </c>
      <c r="C139" s="182" t="s">
        <v>748</v>
      </c>
      <c r="D139" s="189"/>
      <c r="E139" s="31">
        <v>1</v>
      </c>
      <c r="F139" s="31">
        <v>1</v>
      </c>
      <c r="G139" s="31">
        <v>2</v>
      </c>
      <c r="H139" s="31">
        <v>3</v>
      </c>
    </row>
    <row r="140" spans="1:8" ht="15.75" thickBot="1">
      <c r="A140" s="198">
        <v>104</v>
      </c>
      <c r="B140" s="110" t="s">
        <v>855</v>
      </c>
      <c r="C140" s="182" t="s">
        <v>748</v>
      </c>
      <c r="D140" s="189"/>
      <c r="E140" s="31">
        <v>2</v>
      </c>
      <c r="F140" s="31">
        <v>2</v>
      </c>
      <c r="G140" s="31">
        <v>2</v>
      </c>
      <c r="H140" s="31">
        <v>3</v>
      </c>
    </row>
    <row r="141" spans="1:8" ht="15.75" thickBot="1">
      <c r="A141" s="198">
        <v>105</v>
      </c>
      <c r="B141" s="110" t="s">
        <v>856</v>
      </c>
      <c r="C141" s="182" t="s">
        <v>748</v>
      </c>
      <c r="D141" s="189"/>
      <c r="E141" s="31">
        <v>4</v>
      </c>
      <c r="F141" s="31">
        <v>4</v>
      </c>
      <c r="G141" s="31">
        <v>4</v>
      </c>
      <c r="H141" s="31">
        <v>4</v>
      </c>
    </row>
    <row r="142" spans="1:8" ht="21">
      <c r="A142" s="186"/>
      <c r="B142" s="193" t="s">
        <v>857</v>
      </c>
      <c r="C142" s="187"/>
      <c r="D142" s="187"/>
      <c r="E142" s="188"/>
      <c r="F142" s="188"/>
      <c r="G142" s="188"/>
      <c r="H142" s="188"/>
    </row>
    <row r="143" spans="1:8" ht="18" thickBot="1">
      <c r="A143" s="181"/>
      <c r="B143" s="61" t="s">
        <v>858</v>
      </c>
      <c r="C143" s="61" t="s">
        <v>258</v>
      </c>
      <c r="D143" s="61" t="str">
        <f>'[6]General Info'!D4</f>
        <v>FY 2008-2009</v>
      </c>
      <c r="E143" s="61" t="str">
        <f>'[6]General Info'!E4</f>
        <v>FY 2009-2010</v>
      </c>
      <c r="F143" s="61" t="str">
        <f>'[6]General Info'!F4</f>
        <v>FY 2010-2011</v>
      </c>
      <c r="G143" s="61" t="str">
        <f>'[6]General Info'!G4</f>
        <v>FY 2011-2012</v>
      </c>
      <c r="H143" s="61" t="str">
        <f>'[6]General Info'!H4</f>
        <v>FY 2012-2013</v>
      </c>
    </row>
    <row r="144" spans="1:8" ht="15.75" thickBot="1">
      <c r="A144" s="198">
        <v>106</v>
      </c>
      <c r="B144" s="110" t="s">
        <v>859</v>
      </c>
      <c r="C144" s="182" t="s">
        <v>271</v>
      </c>
      <c r="D144" s="142"/>
      <c r="E144" s="33" t="s">
        <v>251</v>
      </c>
      <c r="F144" s="33" t="s">
        <v>251</v>
      </c>
      <c r="G144" s="33" t="s">
        <v>251</v>
      </c>
      <c r="H144" s="31">
        <v>392</v>
      </c>
    </row>
    <row r="145" spans="1:8" ht="15.75" thickBot="1">
      <c r="A145" s="198">
        <v>107</v>
      </c>
      <c r="B145" s="110" t="s">
        <v>860</v>
      </c>
      <c r="C145" s="182" t="s">
        <v>271</v>
      </c>
      <c r="D145" s="142"/>
      <c r="E145" s="31">
        <v>18654</v>
      </c>
      <c r="F145" s="31">
        <v>19396</v>
      </c>
      <c r="G145" s="31">
        <v>17782</v>
      </c>
      <c r="H145" s="31">
        <v>11000</v>
      </c>
    </row>
    <row r="146" spans="1:8" ht="15.75" thickBot="1">
      <c r="A146" s="198">
        <v>108</v>
      </c>
      <c r="B146" s="110" t="s">
        <v>861</v>
      </c>
      <c r="C146" s="182" t="s">
        <v>271</v>
      </c>
      <c r="D146" s="142"/>
      <c r="E146" s="33" t="s">
        <v>251</v>
      </c>
      <c r="F146" s="33" t="s">
        <v>251</v>
      </c>
      <c r="G146" s="33" t="s">
        <v>251</v>
      </c>
      <c r="H146" s="33" t="s">
        <v>250</v>
      </c>
    </row>
    <row r="147" spans="1:8" ht="15.75" thickBot="1">
      <c r="A147" s="198">
        <v>109</v>
      </c>
      <c r="B147" s="110" t="s">
        <v>862</v>
      </c>
      <c r="C147" s="182" t="s">
        <v>271</v>
      </c>
      <c r="D147" s="142"/>
      <c r="E147" s="33" t="s">
        <v>250</v>
      </c>
      <c r="F147" s="33" t="s">
        <v>250</v>
      </c>
      <c r="G147" s="33" t="s">
        <v>250</v>
      </c>
      <c r="H147" s="33" t="s">
        <v>250</v>
      </c>
    </row>
    <row r="148" spans="1:8" ht="15.75" thickBot="1">
      <c r="A148" s="198">
        <v>110</v>
      </c>
      <c r="B148" s="110" t="s">
        <v>863</v>
      </c>
      <c r="C148" s="182" t="s">
        <v>748</v>
      </c>
      <c r="D148" s="189"/>
      <c r="E148" s="31">
        <v>1</v>
      </c>
      <c r="F148" s="31">
        <v>1</v>
      </c>
      <c r="G148" s="31">
        <v>1</v>
      </c>
      <c r="H148" s="31">
        <v>1</v>
      </c>
    </row>
    <row r="149" spans="1:8" ht="17.25">
      <c r="A149" s="216"/>
      <c r="B149" s="193" t="s">
        <v>864</v>
      </c>
      <c r="C149" s="217"/>
      <c r="D149" s="218"/>
      <c r="E149" s="219"/>
      <c r="F149" s="219"/>
      <c r="G149" s="219"/>
      <c r="H149" s="219"/>
    </row>
    <row r="150" spans="1:8" ht="18" thickBot="1">
      <c r="A150" s="198">
        <v>111</v>
      </c>
      <c r="B150" s="183" t="s">
        <v>865</v>
      </c>
      <c r="C150" s="194" t="s">
        <v>866</v>
      </c>
      <c r="D150" s="220"/>
      <c r="E150" s="33">
        <v>600</v>
      </c>
      <c r="F150" s="33">
        <v>600</v>
      </c>
      <c r="G150" s="33" t="s">
        <v>250</v>
      </c>
      <c r="H150" s="33" t="s">
        <v>250</v>
      </c>
    </row>
    <row r="151" spans="1:8" ht="18" thickBot="1">
      <c r="A151" s="198">
        <v>112</v>
      </c>
      <c r="B151" s="183" t="s">
        <v>867</v>
      </c>
      <c r="C151" s="194" t="s">
        <v>866</v>
      </c>
      <c r="D151" s="220"/>
      <c r="E151" s="33">
        <v>600</v>
      </c>
      <c r="F151" s="33">
        <v>600</v>
      </c>
      <c r="G151" s="33" t="s">
        <v>250</v>
      </c>
      <c r="H151" s="33" t="s">
        <v>250</v>
      </c>
    </row>
    <row r="152" spans="1:8" ht="15.75" thickBot="1">
      <c r="A152" s="198">
        <v>113</v>
      </c>
      <c r="B152" s="110" t="s">
        <v>868</v>
      </c>
      <c r="C152" s="182" t="s">
        <v>459</v>
      </c>
      <c r="D152" s="189"/>
      <c r="E152" s="39" t="s">
        <v>697</v>
      </c>
      <c r="F152" s="39" t="s">
        <v>697</v>
      </c>
      <c r="G152" s="39" t="s">
        <v>697</v>
      </c>
      <c r="H152" s="39" t="s">
        <v>697</v>
      </c>
    </row>
    <row r="153" spans="1:8" ht="15.75" thickBot="1">
      <c r="A153" s="221">
        <v>114</v>
      </c>
      <c r="B153" s="222" t="s">
        <v>869</v>
      </c>
      <c r="C153" s="223" t="s">
        <v>870</v>
      </c>
      <c r="D153" s="224"/>
      <c r="E153" s="33" t="s">
        <v>251</v>
      </c>
      <c r="F153" s="33" t="s">
        <v>251</v>
      </c>
      <c r="G153" s="33" t="s">
        <v>251</v>
      </c>
      <c r="H153" s="33" t="s">
        <v>251</v>
      </c>
    </row>
    <row r="154" spans="1:8" ht="15.75" thickBot="1">
      <c r="A154" s="221">
        <v>115</v>
      </c>
      <c r="B154" s="222" t="s">
        <v>871</v>
      </c>
      <c r="C154" s="223" t="s">
        <v>870</v>
      </c>
      <c r="D154" s="223"/>
      <c r="E154" s="33" t="s">
        <v>251</v>
      </c>
      <c r="F154" s="33" t="s">
        <v>251</v>
      </c>
      <c r="G154" s="33" t="s">
        <v>251</v>
      </c>
      <c r="H154" s="33" t="s">
        <v>251</v>
      </c>
    </row>
    <row r="155" spans="1:8" ht="15.75" thickBot="1">
      <c r="A155" s="221">
        <v>116</v>
      </c>
      <c r="B155" s="222" t="s">
        <v>872</v>
      </c>
      <c r="C155" s="223" t="s">
        <v>873</v>
      </c>
      <c r="D155" s="223"/>
      <c r="E155" s="33" t="s">
        <v>251</v>
      </c>
      <c r="F155" s="33" t="s">
        <v>251</v>
      </c>
      <c r="G155" s="33" t="s">
        <v>251</v>
      </c>
      <c r="H155" s="33" t="s">
        <v>251</v>
      </c>
    </row>
    <row r="156" spans="1:8" ht="15.75" thickBot="1">
      <c r="A156" s="221">
        <v>117</v>
      </c>
      <c r="B156" s="225" t="s">
        <v>874</v>
      </c>
      <c r="C156" s="223" t="s">
        <v>271</v>
      </c>
      <c r="D156" s="223"/>
      <c r="E156" s="33" t="s">
        <v>251</v>
      </c>
      <c r="F156" s="33" t="s">
        <v>251</v>
      </c>
      <c r="G156" s="33" t="s">
        <v>251</v>
      </c>
      <c r="H156" s="33" t="s">
        <v>251</v>
      </c>
    </row>
    <row r="157" spans="1:8" ht="15.75" thickBot="1">
      <c r="A157" s="221">
        <v>118</v>
      </c>
      <c r="B157" s="225" t="s">
        <v>875</v>
      </c>
      <c r="C157" s="223" t="s">
        <v>271</v>
      </c>
      <c r="D157" s="223"/>
      <c r="E157" s="33" t="s">
        <v>251</v>
      </c>
      <c r="F157" s="33" t="s">
        <v>251</v>
      </c>
      <c r="G157" s="33" t="s">
        <v>251</v>
      </c>
      <c r="H157" s="33" t="s">
        <v>251</v>
      </c>
    </row>
    <row r="158" spans="1:8" ht="15.75" thickBot="1">
      <c r="A158" s="221">
        <v>119</v>
      </c>
      <c r="B158" s="110" t="s">
        <v>876</v>
      </c>
      <c r="C158" s="182" t="s">
        <v>748</v>
      </c>
      <c r="D158" s="189"/>
      <c r="E158" s="39" t="s">
        <v>749</v>
      </c>
      <c r="F158" s="39" t="s">
        <v>749</v>
      </c>
      <c r="G158" s="39" t="s">
        <v>749</v>
      </c>
      <c r="H158" s="39" t="s">
        <v>749</v>
      </c>
    </row>
    <row r="159" spans="1:8" ht="17.25">
      <c r="A159" s="226"/>
      <c r="B159" s="196" t="s">
        <v>877</v>
      </c>
      <c r="C159" s="227"/>
      <c r="D159" s="228"/>
      <c r="E159" s="229"/>
      <c r="F159" s="229"/>
      <c r="G159" s="229"/>
      <c r="H159" s="229"/>
    </row>
    <row r="161" spans="1:8" ht="15.75" thickBot="1">
      <c r="A161" s="839" t="s">
        <v>878</v>
      </c>
      <c r="B161" s="839"/>
      <c r="C161" s="839"/>
      <c r="D161" s="839"/>
      <c r="E161" s="839"/>
      <c r="F161" s="80"/>
      <c r="G161" s="80"/>
      <c r="H161" s="80"/>
    </row>
    <row r="162" spans="1:8" ht="19.5" thickBot="1">
      <c r="A162" s="179">
        <v>4</v>
      </c>
      <c r="B162" s="204" t="s">
        <v>879</v>
      </c>
      <c r="C162" s="205"/>
      <c r="D162" s="205"/>
      <c r="E162" s="205"/>
      <c r="F162" s="205"/>
      <c r="G162" s="205"/>
      <c r="H162" s="205"/>
    </row>
    <row r="163" spans="1:8" ht="18" thickBot="1">
      <c r="A163" s="181"/>
      <c r="B163" s="61"/>
      <c r="C163" s="61" t="s">
        <v>258</v>
      </c>
      <c r="D163" s="61" t="str">
        <f>'[6]General Info'!D4</f>
        <v>FY 2008-2009</v>
      </c>
      <c r="E163" s="61" t="str">
        <f>'[6]General Info'!E4</f>
        <v>FY 2009-2010</v>
      </c>
      <c r="F163" s="61" t="str">
        <f>'[6]General Info'!F4</f>
        <v>FY 2010-2011</v>
      </c>
      <c r="G163" s="61" t="str">
        <f>'[6]General Info'!G4</f>
        <v>FY 2011-2012</v>
      </c>
      <c r="H163" s="61" t="str">
        <f>'[6]General Info'!H4</f>
        <v>FY 2012-2013</v>
      </c>
    </row>
    <row r="164" spans="1:8" ht="15.75" thickBot="1">
      <c r="A164" s="198">
        <v>120</v>
      </c>
      <c r="B164" s="110" t="s">
        <v>880</v>
      </c>
      <c r="C164" s="182" t="s">
        <v>271</v>
      </c>
      <c r="D164" s="142"/>
      <c r="E164" s="31">
        <v>12</v>
      </c>
      <c r="F164" s="31">
        <v>12</v>
      </c>
      <c r="G164" s="31">
        <v>12</v>
      </c>
      <c r="H164" s="31">
        <v>12</v>
      </c>
    </row>
    <row r="165" spans="1:8" ht="21.75" thickBot="1">
      <c r="A165" s="216"/>
      <c r="B165" s="185" t="s">
        <v>881</v>
      </c>
      <c r="C165" s="230"/>
      <c r="D165" s="230"/>
      <c r="E165" s="230"/>
      <c r="F165" s="230"/>
      <c r="G165" s="230"/>
      <c r="H165" s="230"/>
    </row>
    <row r="166" spans="1:8" ht="15.75" thickBot="1">
      <c r="A166" s="198">
        <v>121</v>
      </c>
      <c r="B166" s="231" t="s">
        <v>219</v>
      </c>
      <c r="C166" s="182" t="s">
        <v>271</v>
      </c>
      <c r="D166" s="142"/>
      <c r="E166" s="31">
        <v>7</v>
      </c>
      <c r="F166" s="31">
        <v>7</v>
      </c>
      <c r="G166" s="31">
        <v>7</v>
      </c>
      <c r="H166" s="31">
        <v>9</v>
      </c>
    </row>
    <row r="167" spans="1:8" ht="15.75" thickBot="1">
      <c r="A167" s="198">
        <v>122</v>
      </c>
      <c r="B167" s="231" t="s">
        <v>882</v>
      </c>
      <c r="C167" s="182" t="s">
        <v>271</v>
      </c>
      <c r="D167" s="142"/>
      <c r="E167" s="31">
        <v>5</v>
      </c>
      <c r="F167" s="31">
        <v>5</v>
      </c>
      <c r="G167" s="31">
        <v>5</v>
      </c>
      <c r="H167" s="31">
        <v>3</v>
      </c>
    </row>
    <row r="168" spans="1:8" ht="15.75" thickBot="1">
      <c r="A168" s="198">
        <v>123</v>
      </c>
      <c r="B168" s="231" t="s">
        <v>883</v>
      </c>
      <c r="C168" s="182" t="s">
        <v>271</v>
      </c>
      <c r="D168" s="142"/>
      <c r="E168" s="31">
        <v>0</v>
      </c>
      <c r="F168" s="31">
        <v>0</v>
      </c>
      <c r="G168" s="31">
        <v>0</v>
      </c>
      <c r="H168" s="31">
        <v>0</v>
      </c>
    </row>
    <row r="169" spans="1:8" ht="15.75" thickBot="1">
      <c r="A169" s="198">
        <v>124</v>
      </c>
      <c r="B169" s="231" t="s">
        <v>884</v>
      </c>
      <c r="C169" s="182" t="s">
        <v>271</v>
      </c>
      <c r="D169" s="142"/>
      <c r="E169" s="31">
        <v>0</v>
      </c>
      <c r="F169" s="31">
        <v>0</v>
      </c>
      <c r="G169" s="31">
        <v>0</v>
      </c>
      <c r="H169" s="31">
        <v>0</v>
      </c>
    </row>
    <row r="170" spans="1:8" ht="15.75" thickBot="1">
      <c r="A170" s="198">
        <v>125</v>
      </c>
      <c r="B170" s="110" t="s">
        <v>885</v>
      </c>
      <c r="C170" s="182" t="s">
        <v>271</v>
      </c>
      <c r="D170" s="31">
        <v>124</v>
      </c>
      <c r="E170" s="31">
        <v>112</v>
      </c>
      <c r="F170" s="31">
        <v>112</v>
      </c>
      <c r="G170" s="31">
        <v>127</v>
      </c>
      <c r="H170" s="31">
        <v>142</v>
      </c>
    </row>
    <row r="171" spans="1:8" ht="15.75" thickBot="1">
      <c r="A171" s="198">
        <v>126</v>
      </c>
      <c r="B171" s="110" t="s">
        <v>886</v>
      </c>
      <c r="C171" s="182" t="s">
        <v>488</v>
      </c>
      <c r="D171" s="33">
        <v>30.8</v>
      </c>
      <c r="E171" s="33">
        <v>28</v>
      </c>
      <c r="F171" s="33">
        <v>28</v>
      </c>
      <c r="G171" s="33">
        <v>30</v>
      </c>
      <c r="H171" s="33">
        <v>38</v>
      </c>
    </row>
    <row r="172" spans="1:8" ht="15.75" thickBot="1">
      <c r="A172" s="198">
        <v>127</v>
      </c>
      <c r="B172" s="110" t="s">
        <v>887</v>
      </c>
      <c r="C172" s="182" t="s">
        <v>271</v>
      </c>
      <c r="D172" s="142"/>
      <c r="E172" s="31">
        <v>48</v>
      </c>
      <c r="F172" s="31">
        <v>48</v>
      </c>
      <c r="G172" s="31">
        <v>48</v>
      </c>
      <c r="H172" s="31">
        <v>60</v>
      </c>
    </row>
    <row r="173" spans="1:8" ht="15.75" thickBot="1">
      <c r="A173" s="198">
        <v>128</v>
      </c>
      <c r="B173" s="110" t="s">
        <v>888</v>
      </c>
      <c r="C173" s="182" t="s">
        <v>889</v>
      </c>
      <c r="D173" s="142"/>
      <c r="E173" s="33">
        <v>1.25</v>
      </c>
      <c r="F173" s="33">
        <v>1.25</v>
      </c>
      <c r="G173" s="33">
        <v>1.5</v>
      </c>
      <c r="H173" s="33">
        <v>1.25</v>
      </c>
    </row>
    <row r="174" spans="1:8" ht="15.75" thickBot="1">
      <c r="A174" s="198">
        <v>129</v>
      </c>
      <c r="B174" s="110" t="s">
        <v>890</v>
      </c>
      <c r="C174" s="182" t="s">
        <v>469</v>
      </c>
      <c r="D174" s="142"/>
      <c r="E174" s="31">
        <v>12</v>
      </c>
      <c r="F174" s="31">
        <v>12</v>
      </c>
      <c r="G174" s="31">
        <v>12</v>
      </c>
      <c r="H174" s="31">
        <v>2</v>
      </c>
    </row>
    <row r="175" spans="1:8" ht="21">
      <c r="A175" s="216"/>
      <c r="B175" s="232" t="s">
        <v>891</v>
      </c>
      <c r="C175" s="230"/>
      <c r="D175" s="230"/>
      <c r="E175" s="230"/>
      <c r="F175" s="230"/>
      <c r="G175" s="230"/>
      <c r="H175" s="230"/>
    </row>
    <row r="176" spans="1:8" ht="15.75" thickBot="1">
      <c r="A176" s="198">
        <v>130</v>
      </c>
      <c r="B176" s="231" t="s">
        <v>892</v>
      </c>
      <c r="C176" s="182" t="s">
        <v>459</v>
      </c>
      <c r="D176" s="189"/>
      <c r="E176" s="39" t="s">
        <v>697</v>
      </c>
      <c r="F176" s="39" t="s">
        <v>697</v>
      </c>
      <c r="G176" s="39" t="s">
        <v>697</v>
      </c>
      <c r="H176" s="39" t="s">
        <v>697</v>
      </c>
    </row>
    <row r="177" spans="1:256" ht="15.75" thickBot="1">
      <c r="A177" s="198">
        <v>131</v>
      </c>
      <c r="B177" s="231" t="s">
        <v>893</v>
      </c>
      <c r="C177" s="182" t="s">
        <v>459</v>
      </c>
      <c r="D177" s="189"/>
      <c r="E177" s="39" t="s">
        <v>697</v>
      </c>
      <c r="F177" s="39" t="s">
        <v>697</v>
      </c>
      <c r="G177" s="39" t="s">
        <v>697</v>
      </c>
      <c r="H177" s="39" t="s">
        <v>697</v>
      </c>
    </row>
    <row r="178" spans="1:256" ht="15.75" thickBot="1">
      <c r="A178" s="198">
        <v>132</v>
      </c>
      <c r="B178" s="231" t="s">
        <v>894</v>
      </c>
      <c r="C178" s="182" t="s">
        <v>459</v>
      </c>
      <c r="D178" s="189"/>
      <c r="E178" s="39" t="s">
        <v>697</v>
      </c>
      <c r="F178" s="39" t="s">
        <v>697</v>
      </c>
      <c r="G178" s="39" t="s">
        <v>697</v>
      </c>
      <c r="H178" s="39" t="s">
        <v>563</v>
      </c>
    </row>
    <row r="179" spans="1:256" ht="15.75" thickBot="1">
      <c r="A179" s="198">
        <v>133</v>
      </c>
      <c r="B179" s="231" t="s">
        <v>895</v>
      </c>
      <c r="C179" s="182" t="s">
        <v>459</v>
      </c>
      <c r="D179" s="189"/>
      <c r="E179" s="39" t="s">
        <v>697</v>
      </c>
      <c r="F179" s="39" t="s">
        <v>697</v>
      </c>
      <c r="G179" s="39" t="s">
        <v>697</v>
      </c>
      <c r="H179" s="39" t="s">
        <v>697</v>
      </c>
    </row>
    <row r="180" spans="1:256" ht="21">
      <c r="A180" s="186"/>
      <c r="B180" s="187"/>
      <c r="C180" s="187"/>
      <c r="D180" s="187"/>
      <c r="E180" s="188"/>
      <c r="F180" s="188"/>
      <c r="G180" s="188"/>
      <c r="H180" s="188"/>
    </row>
    <row r="181" spans="1:256" ht="15.75" thickBot="1">
      <c r="A181" s="839" t="s">
        <v>896</v>
      </c>
      <c r="B181" s="839"/>
      <c r="C181" s="839"/>
      <c r="D181" s="839"/>
      <c r="E181" s="839"/>
      <c r="F181" s="80"/>
      <c r="G181" s="80"/>
      <c r="H181" s="80"/>
    </row>
    <row r="182" spans="1:256" ht="19.5" thickBot="1">
      <c r="A182" s="179">
        <v>5</v>
      </c>
      <c r="B182" s="204" t="s">
        <v>897</v>
      </c>
      <c r="C182" s="205"/>
      <c r="D182" s="205"/>
      <c r="E182" s="205"/>
      <c r="F182" s="205"/>
      <c r="G182" s="205"/>
      <c r="H182" s="205"/>
    </row>
    <row r="183" spans="1:256" ht="18" thickBot="1">
      <c r="A183" s="181"/>
      <c r="B183" s="61" t="s">
        <v>898</v>
      </c>
      <c r="C183" s="61" t="s">
        <v>258</v>
      </c>
      <c r="D183" s="61" t="str">
        <f>'[6]General Info'!D4</f>
        <v>FY 2008-2009</v>
      </c>
      <c r="E183" s="61" t="str">
        <f>'[6]General Info'!E4</f>
        <v>FY 2009-2010</v>
      </c>
      <c r="F183" s="61" t="str">
        <f>'[6]General Info'!F4</f>
        <v>FY 2010-2011</v>
      </c>
      <c r="G183" s="61" t="str">
        <f>'[6]General Info'!G4</f>
        <v>FY 2011-2012</v>
      </c>
      <c r="H183" s="61" t="str">
        <f>'[6]General Info'!H4</f>
        <v>FY 2012-2013</v>
      </c>
    </row>
    <row r="184" spans="1:256" ht="15.75" thickBot="1">
      <c r="A184" s="198">
        <v>134</v>
      </c>
      <c r="B184" s="110" t="s">
        <v>899</v>
      </c>
      <c r="C184" s="30" t="s">
        <v>671</v>
      </c>
      <c r="D184" s="33">
        <v>182.19</v>
      </c>
      <c r="E184" s="33">
        <v>48</v>
      </c>
      <c r="F184" s="33">
        <v>553</v>
      </c>
      <c r="G184" s="33">
        <v>1954.08</v>
      </c>
      <c r="H184" s="33">
        <v>1954.08</v>
      </c>
    </row>
    <row r="185" spans="1:256">
      <c r="A185" s="233"/>
      <c r="B185" s="234" t="s">
        <v>900</v>
      </c>
      <c r="C185" s="30"/>
      <c r="D185" s="235"/>
      <c r="E185" s="235"/>
      <c r="F185" s="235"/>
      <c r="G185" s="235"/>
      <c r="H185" s="235"/>
    </row>
    <row r="186" spans="1:256" ht="15.75" thickBot="1">
      <c r="A186" s="198">
        <v>135</v>
      </c>
      <c r="B186" s="231" t="s">
        <v>217</v>
      </c>
      <c r="C186" s="30" t="s">
        <v>671</v>
      </c>
      <c r="D186" s="33">
        <v>0</v>
      </c>
      <c r="E186" s="33">
        <v>72</v>
      </c>
      <c r="F186" s="33">
        <v>4</v>
      </c>
      <c r="G186" s="33">
        <v>347.29</v>
      </c>
      <c r="H186" s="33">
        <v>347.29</v>
      </c>
    </row>
    <row r="187" spans="1:256" ht="15.75" thickBot="1">
      <c r="A187" s="198">
        <v>136</v>
      </c>
      <c r="B187" s="231" t="s">
        <v>901</v>
      </c>
      <c r="C187" s="30" t="s">
        <v>671</v>
      </c>
      <c r="D187" s="33">
        <v>0</v>
      </c>
      <c r="E187" s="33">
        <v>33</v>
      </c>
      <c r="F187" s="33" t="s">
        <v>250</v>
      </c>
      <c r="G187" s="33">
        <v>11.61</v>
      </c>
      <c r="H187" s="33">
        <v>11.61</v>
      </c>
    </row>
    <row r="188" spans="1:256" ht="15.75" thickBot="1">
      <c r="A188" s="198">
        <v>137</v>
      </c>
      <c r="B188" s="231" t="s">
        <v>902</v>
      </c>
      <c r="C188" s="30" t="s">
        <v>671</v>
      </c>
      <c r="D188" s="33">
        <v>0</v>
      </c>
      <c r="E188" s="33">
        <v>1</v>
      </c>
      <c r="F188" s="33" t="s">
        <v>250</v>
      </c>
      <c r="G188" s="33">
        <v>9.9</v>
      </c>
      <c r="H188" s="33">
        <v>9.9</v>
      </c>
    </row>
    <row r="189" spans="1:256" ht="15.75" thickBot="1">
      <c r="A189" s="198">
        <v>138</v>
      </c>
      <c r="B189" s="231" t="s">
        <v>44</v>
      </c>
      <c r="C189" s="30" t="s">
        <v>671</v>
      </c>
      <c r="D189" s="33">
        <v>0</v>
      </c>
      <c r="E189" s="33">
        <v>190</v>
      </c>
      <c r="F189" s="33">
        <v>261</v>
      </c>
      <c r="G189" s="33">
        <v>979.36</v>
      </c>
      <c r="H189" s="33">
        <v>979.36</v>
      </c>
    </row>
    <row r="190" spans="1:256" s="285" customFormat="1" ht="15.75" thickBot="1">
      <c r="A190" s="283">
        <v>139</v>
      </c>
      <c r="B190" s="298" t="s">
        <v>903</v>
      </c>
      <c r="C190" s="268" t="s">
        <v>671</v>
      </c>
      <c r="D190" s="291">
        <f>SUM(D186:D189)</f>
        <v>0</v>
      </c>
      <c r="E190" s="291">
        <f>SUM(E186:E189)</f>
        <v>296</v>
      </c>
      <c r="F190" s="291">
        <f>SUM(F186:F189)</f>
        <v>265</v>
      </c>
      <c r="G190" s="291">
        <f>SUM(G186:G189)</f>
        <v>1348.16</v>
      </c>
      <c r="H190" s="291">
        <f>SUM(H186:H189)</f>
        <v>1348.16</v>
      </c>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c r="AL190" s="284"/>
      <c r="AM190" s="284"/>
      <c r="AN190" s="284"/>
      <c r="AO190" s="284"/>
      <c r="AP190" s="284"/>
      <c r="AQ190" s="284"/>
      <c r="AR190" s="284"/>
      <c r="AS190" s="284"/>
      <c r="AT190" s="284"/>
      <c r="AU190" s="284"/>
      <c r="AV190" s="284"/>
      <c r="AW190" s="284"/>
      <c r="AX190" s="284"/>
      <c r="AY190" s="284"/>
      <c r="AZ190" s="284"/>
      <c r="BA190" s="284"/>
      <c r="BB190" s="284"/>
      <c r="BC190" s="284"/>
      <c r="BD190" s="284"/>
      <c r="BE190" s="284"/>
      <c r="BF190" s="284"/>
      <c r="BG190" s="284"/>
      <c r="BH190" s="284"/>
      <c r="BI190" s="284"/>
      <c r="BJ190" s="284"/>
      <c r="BK190" s="284"/>
      <c r="BL190" s="284"/>
      <c r="BM190" s="284"/>
      <c r="BN190" s="284"/>
      <c r="BO190" s="284"/>
      <c r="BP190" s="284"/>
      <c r="BQ190" s="284"/>
      <c r="BR190" s="284"/>
      <c r="BS190" s="284"/>
      <c r="BT190" s="284"/>
      <c r="BU190" s="284"/>
      <c r="BV190" s="284"/>
      <c r="BW190" s="284"/>
      <c r="BX190" s="284"/>
      <c r="BY190" s="284"/>
      <c r="BZ190" s="284"/>
      <c r="CA190" s="284"/>
      <c r="CB190" s="284"/>
      <c r="CC190" s="284"/>
      <c r="CD190" s="284"/>
      <c r="CE190" s="284"/>
      <c r="CF190" s="284"/>
      <c r="CG190" s="284"/>
      <c r="CH190" s="284"/>
      <c r="CI190" s="284"/>
      <c r="CJ190" s="284"/>
      <c r="CK190" s="284"/>
      <c r="CL190" s="284"/>
      <c r="CM190" s="284"/>
      <c r="CN190" s="284"/>
      <c r="CO190" s="284"/>
      <c r="CP190" s="284"/>
      <c r="CQ190" s="284"/>
      <c r="CR190" s="284"/>
      <c r="CS190" s="284"/>
      <c r="CT190" s="284"/>
      <c r="CU190" s="284"/>
      <c r="CV190" s="284"/>
      <c r="CW190" s="284"/>
      <c r="CX190" s="284"/>
      <c r="CY190" s="284"/>
      <c r="CZ190" s="284"/>
      <c r="DA190" s="284"/>
      <c r="DB190" s="284"/>
      <c r="DC190" s="284"/>
      <c r="DD190" s="284"/>
      <c r="DE190" s="284"/>
      <c r="DF190" s="284"/>
      <c r="DG190" s="284"/>
      <c r="DH190" s="284"/>
      <c r="DI190" s="284"/>
      <c r="DJ190" s="284"/>
      <c r="DK190" s="284"/>
      <c r="DL190" s="284"/>
      <c r="DM190" s="284"/>
      <c r="DN190" s="284"/>
      <c r="DO190" s="284"/>
      <c r="DP190" s="284"/>
      <c r="DQ190" s="284"/>
      <c r="DR190" s="284"/>
      <c r="DS190" s="284"/>
      <c r="DT190" s="284"/>
      <c r="DU190" s="284"/>
      <c r="DV190" s="284"/>
      <c r="DW190" s="284"/>
      <c r="DX190" s="284"/>
      <c r="DY190" s="284"/>
      <c r="DZ190" s="284"/>
      <c r="EA190" s="284"/>
      <c r="EB190" s="284"/>
      <c r="EC190" s="284"/>
      <c r="ED190" s="284"/>
      <c r="EE190" s="284"/>
      <c r="EF190" s="284"/>
      <c r="EG190" s="284"/>
      <c r="EH190" s="284"/>
      <c r="EI190" s="284"/>
      <c r="EJ190" s="284"/>
      <c r="EK190" s="284"/>
      <c r="EL190" s="284"/>
      <c r="EM190" s="284"/>
      <c r="EN190" s="284"/>
      <c r="EO190" s="284"/>
      <c r="EP190" s="284"/>
      <c r="EQ190" s="284"/>
      <c r="ER190" s="284"/>
      <c r="ES190" s="284"/>
      <c r="ET190" s="284"/>
      <c r="EU190" s="284"/>
      <c r="EV190" s="284"/>
      <c r="EW190" s="284"/>
      <c r="EX190" s="284"/>
      <c r="EY190" s="284"/>
      <c r="EZ190" s="284"/>
      <c r="FA190" s="284"/>
      <c r="FB190" s="284"/>
      <c r="FC190" s="284"/>
      <c r="FD190" s="284"/>
      <c r="FE190" s="284"/>
      <c r="FF190" s="284"/>
      <c r="FG190" s="284"/>
      <c r="FH190" s="284"/>
      <c r="FI190" s="284"/>
      <c r="FJ190" s="284"/>
      <c r="FK190" s="284"/>
      <c r="FL190" s="284"/>
      <c r="FM190" s="284"/>
      <c r="FN190" s="284"/>
      <c r="FO190" s="284"/>
      <c r="FP190" s="284"/>
      <c r="FQ190" s="284"/>
      <c r="FR190" s="284"/>
      <c r="FS190" s="284"/>
      <c r="FT190" s="284"/>
      <c r="FU190" s="284"/>
      <c r="FV190" s="284"/>
      <c r="FW190" s="284"/>
      <c r="FX190" s="284"/>
      <c r="FY190" s="284"/>
      <c r="FZ190" s="284"/>
      <c r="GA190" s="284"/>
      <c r="GB190" s="284"/>
      <c r="GC190" s="284"/>
      <c r="GD190" s="284"/>
      <c r="GE190" s="284"/>
      <c r="GF190" s="284"/>
      <c r="GG190" s="284"/>
      <c r="GH190" s="284"/>
      <c r="GI190" s="284"/>
      <c r="GJ190" s="284"/>
      <c r="GK190" s="284"/>
      <c r="GL190" s="284"/>
      <c r="GM190" s="284"/>
      <c r="GN190" s="284"/>
      <c r="GO190" s="284"/>
      <c r="GP190" s="284"/>
      <c r="GQ190" s="284"/>
      <c r="GR190" s="284"/>
      <c r="GS190" s="284"/>
      <c r="GT190" s="284"/>
      <c r="GU190" s="284"/>
      <c r="GV190" s="284"/>
      <c r="GW190" s="284"/>
      <c r="GX190" s="284"/>
      <c r="GY190" s="284"/>
      <c r="GZ190" s="284"/>
      <c r="HA190" s="284"/>
      <c r="HB190" s="284"/>
      <c r="HC190" s="284"/>
      <c r="HD190" s="284"/>
      <c r="HE190" s="284"/>
      <c r="HF190" s="284"/>
      <c r="HG190" s="284"/>
      <c r="HH190" s="284"/>
      <c r="HI190" s="284"/>
      <c r="HJ190" s="284"/>
      <c r="HK190" s="284"/>
      <c r="HL190" s="284"/>
      <c r="HM190" s="284"/>
      <c r="HN190" s="284"/>
      <c r="HO190" s="284"/>
      <c r="HP190" s="284"/>
      <c r="HQ190" s="284"/>
      <c r="HR190" s="284"/>
      <c r="HS190" s="284"/>
      <c r="HT190" s="284"/>
      <c r="HU190" s="284"/>
      <c r="HV190" s="284"/>
      <c r="HW190" s="284"/>
      <c r="HX190" s="284"/>
      <c r="HY190" s="284"/>
      <c r="HZ190" s="284"/>
      <c r="IA190" s="284"/>
      <c r="IB190" s="284"/>
      <c r="IC190" s="284"/>
      <c r="ID190" s="284"/>
      <c r="IE190" s="284"/>
      <c r="IF190" s="284"/>
      <c r="IG190" s="284"/>
      <c r="IH190" s="284"/>
      <c r="II190" s="284"/>
      <c r="IJ190" s="284"/>
      <c r="IK190" s="284"/>
      <c r="IL190" s="284"/>
      <c r="IM190" s="284"/>
      <c r="IN190" s="284"/>
      <c r="IO190" s="284"/>
      <c r="IP190" s="284"/>
      <c r="IQ190" s="284"/>
      <c r="IR190" s="284"/>
      <c r="IS190" s="284"/>
      <c r="IT190" s="284"/>
      <c r="IU190" s="284"/>
      <c r="IV190" s="284"/>
    </row>
    <row r="191" spans="1:256" ht="15.75" thickBot="1">
      <c r="A191" s="198">
        <v>140</v>
      </c>
      <c r="B191" s="110" t="s">
        <v>904</v>
      </c>
      <c r="C191" s="30" t="s">
        <v>671</v>
      </c>
      <c r="D191" s="33">
        <v>461.83</v>
      </c>
      <c r="E191" s="33">
        <v>644</v>
      </c>
      <c r="F191" s="33">
        <v>763</v>
      </c>
      <c r="G191" s="33">
        <v>948.82</v>
      </c>
      <c r="H191" s="33">
        <v>948.82</v>
      </c>
    </row>
    <row r="192" spans="1:256" ht="15.75" thickBot="1">
      <c r="A192" s="198">
        <v>141</v>
      </c>
      <c r="B192" s="110" t="s">
        <v>905</v>
      </c>
      <c r="C192" s="30" t="s">
        <v>671</v>
      </c>
      <c r="D192" s="33">
        <v>472.32</v>
      </c>
      <c r="E192" s="33">
        <v>616</v>
      </c>
      <c r="F192" s="33">
        <v>523</v>
      </c>
      <c r="G192" s="33">
        <v>606.64</v>
      </c>
      <c r="H192" s="33">
        <v>606.64</v>
      </c>
    </row>
    <row r="193" spans="1:8" ht="15.75" thickBot="1">
      <c r="A193" s="198">
        <v>142</v>
      </c>
      <c r="B193" s="110" t="s">
        <v>906</v>
      </c>
      <c r="C193" s="30" t="s">
        <v>671</v>
      </c>
      <c r="D193" s="142"/>
      <c r="E193" s="33">
        <v>0</v>
      </c>
      <c r="F193" s="33">
        <v>0</v>
      </c>
      <c r="G193" s="33">
        <v>0</v>
      </c>
      <c r="H193" s="33">
        <v>0</v>
      </c>
    </row>
    <row r="194" spans="1:8" ht="15.75" thickBot="1">
      <c r="A194" s="198">
        <v>143</v>
      </c>
      <c r="B194" s="110" t="s">
        <v>907</v>
      </c>
      <c r="C194" s="30" t="s">
        <v>671</v>
      </c>
      <c r="D194" s="142"/>
      <c r="E194" s="33">
        <v>0</v>
      </c>
      <c r="F194" s="33">
        <v>0</v>
      </c>
      <c r="G194" s="33">
        <v>350</v>
      </c>
      <c r="H194" s="33">
        <v>374.2</v>
      </c>
    </row>
    <row r="195" spans="1:8" ht="18" thickBot="1">
      <c r="A195" s="181"/>
      <c r="B195" s="61" t="s">
        <v>908</v>
      </c>
      <c r="C195" s="61" t="s">
        <v>258</v>
      </c>
      <c r="D195" s="61" t="str">
        <f>'[6]General Info'!D4</f>
        <v>FY 2008-2009</v>
      </c>
      <c r="E195" s="61" t="str">
        <f>'[6]General Info'!E4</f>
        <v>FY 2009-2010</v>
      </c>
      <c r="F195" s="61" t="str">
        <f>'[6]General Info'!F4</f>
        <v>FY 2010-2011</v>
      </c>
      <c r="G195" s="61" t="str">
        <f>'[6]General Info'!G4</f>
        <v>FY 2011-2012</v>
      </c>
      <c r="H195" s="61" t="str">
        <f>'[6]General Info'!H4</f>
        <v>FY 2012-2013</v>
      </c>
    </row>
    <row r="196" spans="1:8">
      <c r="A196" s="233"/>
      <c r="B196" s="236" t="s">
        <v>909</v>
      </c>
      <c r="C196" s="237"/>
      <c r="D196" s="235"/>
      <c r="E196" s="235"/>
      <c r="F196" s="235"/>
      <c r="G196" s="235"/>
      <c r="H196" s="235"/>
    </row>
    <row r="197" spans="1:8" ht="15.75" thickBot="1">
      <c r="A197" s="198">
        <v>144</v>
      </c>
      <c r="B197" s="231" t="s">
        <v>910</v>
      </c>
      <c r="C197" s="182" t="s">
        <v>459</v>
      </c>
      <c r="D197" s="189"/>
      <c r="E197" s="39" t="s">
        <v>563</v>
      </c>
      <c r="F197" s="39" t="s">
        <v>563</v>
      </c>
      <c r="G197" s="39" t="s">
        <v>563</v>
      </c>
      <c r="H197" s="39" t="s">
        <v>563</v>
      </c>
    </row>
    <row r="198" spans="1:8" ht="15.75" thickBot="1">
      <c r="A198" s="198">
        <v>145</v>
      </c>
      <c r="B198" s="231" t="s">
        <v>911</v>
      </c>
      <c r="C198" s="182" t="s">
        <v>459</v>
      </c>
      <c r="D198" s="189"/>
      <c r="E198" s="39" t="s">
        <v>563</v>
      </c>
      <c r="F198" s="39" t="s">
        <v>563</v>
      </c>
      <c r="G198" s="39" t="s">
        <v>563</v>
      </c>
      <c r="H198" s="39" t="s">
        <v>563</v>
      </c>
    </row>
    <row r="199" spans="1:8" ht="15.75" thickBot="1">
      <c r="A199" s="198">
        <v>146</v>
      </c>
      <c r="B199" s="231" t="s">
        <v>912</v>
      </c>
      <c r="C199" s="182" t="s">
        <v>459</v>
      </c>
      <c r="D199" s="189"/>
      <c r="E199" s="39" t="s">
        <v>563</v>
      </c>
      <c r="F199" s="39" t="s">
        <v>563</v>
      </c>
      <c r="G199" s="39" t="s">
        <v>563</v>
      </c>
      <c r="H199" s="39" t="s">
        <v>563</v>
      </c>
    </row>
    <row r="200" spans="1:8" ht="15.75" thickBot="1">
      <c r="A200" s="198">
        <v>147</v>
      </c>
      <c r="B200" s="231" t="s">
        <v>913</v>
      </c>
      <c r="C200" s="182" t="s">
        <v>459</v>
      </c>
      <c r="D200" s="189"/>
      <c r="E200" s="39" t="s">
        <v>697</v>
      </c>
      <c r="F200" s="39" t="s">
        <v>697</v>
      </c>
      <c r="G200" s="39" t="s">
        <v>697</v>
      </c>
      <c r="H200" s="39" t="s">
        <v>697</v>
      </c>
    </row>
    <row r="201" spans="1:8" ht="15.75" thickBot="1">
      <c r="A201" s="198">
        <v>148</v>
      </c>
      <c r="B201" s="110" t="s">
        <v>914</v>
      </c>
      <c r="C201" s="182" t="s">
        <v>435</v>
      </c>
      <c r="D201" s="142"/>
      <c r="E201" s="39" t="s">
        <v>915</v>
      </c>
      <c r="F201" s="39" t="s">
        <v>915</v>
      </c>
      <c r="G201" s="39" t="s">
        <v>915</v>
      </c>
      <c r="H201" s="39" t="s">
        <v>915</v>
      </c>
    </row>
    <row r="202" spans="1:8" ht="15.75" thickBot="1">
      <c r="A202" s="198">
        <v>149</v>
      </c>
      <c r="B202" s="110" t="s">
        <v>916</v>
      </c>
      <c r="C202" s="182" t="s">
        <v>435</v>
      </c>
      <c r="D202" s="142"/>
      <c r="E202" s="39" t="s">
        <v>915</v>
      </c>
      <c r="F202" s="39" t="s">
        <v>915</v>
      </c>
      <c r="G202" s="39" t="s">
        <v>915</v>
      </c>
      <c r="H202" s="39" t="s">
        <v>915</v>
      </c>
    </row>
    <row r="203" spans="1:8" ht="15.75" thickBot="1">
      <c r="A203" s="198">
        <v>150</v>
      </c>
      <c r="B203" s="110" t="s">
        <v>917</v>
      </c>
      <c r="C203" s="182" t="s">
        <v>459</v>
      </c>
      <c r="D203" s="189"/>
      <c r="E203" s="39" t="s">
        <v>563</v>
      </c>
      <c r="F203" s="39" t="s">
        <v>563</v>
      </c>
      <c r="G203" s="39" t="s">
        <v>563</v>
      </c>
      <c r="H203" s="39" t="s">
        <v>563</v>
      </c>
    </row>
    <row r="204" spans="1:8" ht="15.75" thickBot="1">
      <c r="A204" s="198">
        <v>151</v>
      </c>
      <c r="B204" s="110" t="s">
        <v>918</v>
      </c>
      <c r="C204" s="182" t="s">
        <v>459</v>
      </c>
      <c r="D204" s="189"/>
      <c r="E204" s="39" t="s">
        <v>697</v>
      </c>
      <c r="F204" s="39" t="s">
        <v>697</v>
      </c>
      <c r="G204" s="39" t="s">
        <v>697</v>
      </c>
      <c r="H204" s="39" t="s">
        <v>697</v>
      </c>
    </row>
    <row r="205" spans="1:8" ht="15.75" thickBot="1">
      <c r="A205" s="198">
        <v>152</v>
      </c>
      <c r="B205" s="110" t="s">
        <v>919</v>
      </c>
      <c r="C205" s="182" t="s">
        <v>459</v>
      </c>
      <c r="D205" s="189"/>
      <c r="E205" s="39" t="s">
        <v>697</v>
      </c>
      <c r="F205" s="39" t="s">
        <v>697</v>
      </c>
      <c r="G205" s="39" t="s">
        <v>697</v>
      </c>
      <c r="H205" s="39" t="s">
        <v>697</v>
      </c>
    </row>
    <row r="206" spans="1:8" ht="15.75" thickBot="1">
      <c r="A206" s="198">
        <v>153</v>
      </c>
      <c r="B206" s="110" t="s">
        <v>920</v>
      </c>
      <c r="C206" s="182" t="s">
        <v>435</v>
      </c>
      <c r="D206" s="142"/>
      <c r="E206" s="39" t="s">
        <v>921</v>
      </c>
      <c r="F206" s="39" t="s">
        <v>921</v>
      </c>
      <c r="G206" s="39" t="s">
        <v>921</v>
      </c>
      <c r="H206" s="39" t="s">
        <v>921</v>
      </c>
    </row>
    <row r="208" spans="1:8">
      <c r="A208" s="165" t="s">
        <v>256</v>
      </c>
      <c r="B208" s="87" t="s">
        <v>922</v>
      </c>
      <c r="C208" s="88" t="s">
        <v>258</v>
      </c>
      <c r="D208" s="88" t="str">
        <f>'[6]General Info'!D4</f>
        <v>FY 2008-2009</v>
      </c>
      <c r="E208" s="88" t="str">
        <f>'[6]General Info'!E4</f>
        <v>FY 2009-2010</v>
      </c>
      <c r="F208" s="88" t="str">
        <f>'[6]General Info'!F4</f>
        <v>FY 2010-2011</v>
      </c>
      <c r="G208" s="88" t="str">
        <f>'[6]General Info'!G4</f>
        <v>FY 2011-2012</v>
      </c>
      <c r="H208" s="88" t="str">
        <f>'[6]General Info'!H4</f>
        <v>FY 2012-2013</v>
      </c>
    </row>
    <row r="209" spans="1:8">
      <c r="A209" s="166">
        <v>1</v>
      </c>
      <c r="B209" s="167" t="s">
        <v>923</v>
      </c>
      <c r="C209" s="175" t="s">
        <v>268</v>
      </c>
      <c r="D209" s="168">
        <f>IF(OR(D35="na",D9="na"),"na",IF(OR(D35="nd",D9="nd"),"nd",IF(D9=0,0,D35/D9*100)))</f>
        <v>0</v>
      </c>
      <c r="E209" s="168">
        <f>IF(OR(E35="na",E9="na"),"na",IF(OR(E35="nd",E9="nd"),"nd",IF(E9=0,0,E35/E9*100)))</f>
        <v>100</v>
      </c>
      <c r="F209" s="168">
        <f>IF(OR(F35="na",F9="na"),"na",IF(OR(F35="nd",F9="nd"),"nd",IF(F9=0,0,F35/F9*100)))</f>
        <v>100</v>
      </c>
      <c r="G209" s="168">
        <f>IF(OR(G35="na",G9="na"),"na",IF(OR(G35="nd",G9="nd"),"nd",IF(G9=0,0,G35/G9*100)))</f>
        <v>69.955442393380011</v>
      </c>
      <c r="H209" s="168">
        <f>IF(OR(H35="na",H9="na"),"na",IF(OR(H35="nd",H9="nd"),"nd",IF(H9=0,0,H35/H9*100)))</f>
        <v>77.611940298507463</v>
      </c>
    </row>
    <row r="210" spans="1:8">
      <c r="A210" s="166">
        <v>2</v>
      </c>
      <c r="B210" s="167" t="s">
        <v>924</v>
      </c>
      <c r="C210" s="175" t="s">
        <v>268</v>
      </c>
      <c r="D210" s="168">
        <f>IF(OR(D40="na",D9="na"),"na",IF(OR(D40="nd",D9="nd"),"nd",IF(D9=0,0,D40/D9*100)))</f>
        <v>0</v>
      </c>
      <c r="E210" s="168">
        <f>IF(OR(E40="na",E9="na"),"na",IF(OR(E40="nd",E9="nd"),"nd",IF(E9=0,0,E40/E9*100)))</f>
        <v>86.970074812967582</v>
      </c>
      <c r="F210" s="168">
        <f>IF(OR(F40="na",F9="na"),"na",IF(OR(F40="nd",F9="nd"),"nd",IF(F9=0,0,F40/F9*100)))</f>
        <v>82.558879694462135</v>
      </c>
      <c r="G210" s="168">
        <f>IF(OR(G40="na",G9="na"),"na",IF(OR(G40="nd",G9="nd"),"nd",IF(G9=0,0,G40/G9*100)))</f>
        <v>69.955442393380011</v>
      </c>
      <c r="H210" s="168">
        <f>IF(OR(H40="na",H9="na"),"na",IF(OR(H40="nd",H9="nd"),"nd",IF(H9=0,0,H40/H9*100)))</f>
        <v>74.626865671641795</v>
      </c>
    </row>
    <row r="211" spans="1:8">
      <c r="A211" s="166">
        <v>3</v>
      </c>
      <c r="B211" s="167" t="s">
        <v>925</v>
      </c>
      <c r="C211" s="175" t="s">
        <v>268</v>
      </c>
      <c r="D211" s="168">
        <f>IF(OR(D45="na",D9="na"),"na",IF(OR(D45="nd",D9="nd"),"nd",IF(D9=0,0,D45/D9*100)))</f>
        <v>0</v>
      </c>
      <c r="E211" s="168" t="str">
        <f>IF(OR(E45="na",E9="na"),"na",IF(OR(E45="nd",E9="nd"),"nd",IF(E9=0,0,E45/E9*100)))</f>
        <v>nd</v>
      </c>
      <c r="F211" s="168" t="str">
        <f>IF(OR(F45="na",F9="na"),"na",IF(OR(F45="nd",F9="nd"),"nd",IF(F9=0,0,F45/F9*100)))</f>
        <v>nd</v>
      </c>
      <c r="G211" s="168">
        <f>IF(OR(G45="na",G9="na"),"na",IF(OR(G45="nd",G9="nd"),"nd",IF(G9=0,0,G45/G9*100)))</f>
        <v>6.9382558879694471</v>
      </c>
      <c r="H211" s="168">
        <f>IF(OR(H45="na",H9="na"),"na",IF(OR(H45="nd",H9="nd"),"nd",IF(H9=0,0,H45/H9*100)))</f>
        <v>7.3383084577114426</v>
      </c>
    </row>
    <row r="212" spans="1:8">
      <c r="A212" s="166">
        <v>4</v>
      </c>
      <c r="B212" s="167" t="s">
        <v>926</v>
      </c>
      <c r="C212" s="175" t="s">
        <v>268</v>
      </c>
      <c r="D212" s="168">
        <f>IF(OR(D47="na",D9="na"),"na",IF(OR(D47="nd",D9="nd"),"nd",IF(D9=0,0,D47/D9*100)))</f>
        <v>100</v>
      </c>
      <c r="E212" s="168">
        <f>IF(OR(E47="na",E9="na"),"na",IF(OR(E47="nd",E9="nd"),"nd",IF(E9=0,0,E47/E9*100)))</f>
        <v>100</v>
      </c>
      <c r="F212" s="168">
        <f>IF(OR(F47="na",F9="na"),"na",IF(OR(F47="nd",F9="nd"),"nd",IF(F9=0,0,F47/F9*100)))</f>
        <v>100</v>
      </c>
      <c r="G212" s="168">
        <f>IF(OR(G47="na",G9="na"),"na",IF(OR(G47="nd",G9="nd"),"nd",IF(G9=0,0,G47/G9*100)))</f>
        <v>100</v>
      </c>
      <c r="H212" s="168">
        <f>IF(OR(H47="na",H9="na"),"na",IF(OR(H47="nd",H9="nd"),"nd",IF(H9=0,0,H47/H9*100)))</f>
        <v>99.50248756218906</v>
      </c>
    </row>
    <row r="213" spans="1:8">
      <c r="A213" s="238"/>
      <c r="B213" s="197"/>
      <c r="C213" s="197"/>
      <c r="D213" s="197"/>
      <c r="E213" s="197"/>
      <c r="F213" s="197"/>
      <c r="G213" s="197"/>
      <c r="H213" s="197"/>
    </row>
    <row r="214" spans="1:8">
      <c r="A214" s="165" t="s">
        <v>256</v>
      </c>
      <c r="B214" s="93" t="s">
        <v>927</v>
      </c>
      <c r="C214" s="94"/>
      <c r="D214" s="88" t="str">
        <f>'[6]General Info'!D4</f>
        <v>FY 2008-2009</v>
      </c>
      <c r="E214" s="88" t="str">
        <f>'[6]General Info'!E4</f>
        <v>FY 2009-2010</v>
      </c>
      <c r="F214" s="88" t="str">
        <f>'[6]General Info'!F4</f>
        <v>FY 2010-2011</v>
      </c>
      <c r="G214" s="88" t="str">
        <f>'[6]General Info'!G4</f>
        <v>FY 2011-2012</v>
      </c>
      <c r="H214" s="88" t="str">
        <f>'[6]General Info'!H4</f>
        <v>FY 2012-2013</v>
      </c>
    </row>
    <row r="215" spans="1:8">
      <c r="A215" s="89">
        <v>1</v>
      </c>
      <c r="B215" s="173" t="s">
        <v>923</v>
      </c>
      <c r="C215" s="174"/>
      <c r="D215" s="138"/>
      <c r="E215" s="138" t="str">
        <f>IF(AND(OR([6]Reliability!D51="Y",[6]Reliability!D52="Y"),[6]Reliability!D48="Y",[6]Reliability!D46="Y"),"A",IF(AND([6]Reliability!D47="Y",[6]Reliability!D48="Y"),"B",IF([6]Reliability!D49="Y","C","D")))</f>
        <v>A</v>
      </c>
      <c r="F215" s="138" t="str">
        <f>IF(AND(OR([6]Reliability!E51="Y",[6]Reliability!E52="Y"),[6]Reliability!E48="Y",[6]Reliability!E46="Y"),"A",IF(AND([6]Reliability!E47="Y",[6]Reliability!E48="Y"),"B",IF([6]Reliability!E49="Y","C","D")))</f>
        <v>A</v>
      </c>
      <c r="G215" s="138" t="str">
        <f>IF(AND(OR([6]Reliability!F51="Y",[6]Reliability!F52="Y"),[6]Reliability!F48="Y",[6]Reliability!F46="Y"),"A",IF(AND([6]Reliability!F47="Y",[6]Reliability!F48="Y"),"B",IF([6]Reliability!F49="Y","C","D")))</f>
        <v>D</v>
      </c>
      <c r="H215" s="138" t="str">
        <f>IF(AND(OR([6]Reliability!G51="Y",[6]Reliability!G52="Y"),[6]Reliability!G48="Y",[6]Reliability!G46="Y"),"A",IF(AND([6]Reliability!G47="Y",[6]Reliability!G48="Y"),"B",IF([6]Reliability!G49="Y","C","D")))</f>
        <v>D</v>
      </c>
    </row>
    <row r="216" spans="1:8">
      <c r="A216" s="89">
        <v>2</v>
      </c>
      <c r="B216" s="173" t="s">
        <v>924</v>
      </c>
      <c r="C216" s="174"/>
      <c r="D216" s="138"/>
      <c r="E216" s="138" t="str">
        <f>IF(AND(OR([6]Reliability!D55="Y",[6]Reliability!D56="Y"),[6]Reliability!D48="Y",[6]Reliability!D46="Y"),"A",IF(AND([6]Reliability!D47="Y",[6]Reliability!D48="Y"),"B",IF([6]Reliability!D49="Y","C","D")))</f>
        <v>A</v>
      </c>
      <c r="F216" s="138" t="str">
        <f>IF(AND(OR([6]Reliability!E55="Y",[6]Reliability!E56="Y"),[6]Reliability!E48="Y",[6]Reliability!E46="Y"),"A",IF(AND([6]Reliability!E47="Y",[6]Reliability!E48="Y"),"B",IF([6]Reliability!E49="Y","C","D")))</f>
        <v>A</v>
      </c>
      <c r="G216" s="138" t="str">
        <f>IF(AND(OR([6]Reliability!F55="Y",[6]Reliability!F56="Y"),[6]Reliability!F48="Y",[6]Reliability!F46="Y"),"A",IF(AND([6]Reliability!F47="Y",[6]Reliability!F48="Y"),"B",IF([6]Reliability!F49="Y","C","D")))</f>
        <v>D</v>
      </c>
      <c r="H216" s="138" t="str">
        <f>IF(AND(OR([6]Reliability!G55="Y",[6]Reliability!G56="Y"),[6]Reliability!G48="Y",[6]Reliability!G46="Y"),"A",IF(AND([6]Reliability!G47="Y",[6]Reliability!G48="Y"),"B",IF([6]Reliability!G49="Y","C","D")))</f>
        <v>D</v>
      </c>
    </row>
    <row r="217" spans="1:8">
      <c r="A217" s="89">
        <v>3</v>
      </c>
      <c r="B217" s="173" t="s">
        <v>925</v>
      </c>
      <c r="C217" s="174"/>
      <c r="D217" s="138"/>
      <c r="E217" s="138" t="str">
        <f>IF(AND(OR([6]Reliability!D53="Y",[6]Reliability!D54="Y"),[6]Reliability!D48="Y",[6]Reliability!D46="Y"),"A",IF(AND([6]Reliability!D47="Y",[6]Reliability!D48="Y"),"B",IF([6]Reliability!D49="Y","C","D")))</f>
        <v>A</v>
      </c>
      <c r="F217" s="138" t="str">
        <f>IF(AND(OR([6]Reliability!E53="Y",[6]Reliability!E54="Y"),[6]Reliability!E48="Y",[6]Reliability!E46="Y"),"A",IF(AND([6]Reliability!E47="Y",[6]Reliability!E48="Y"),"B",IF([6]Reliability!E49="Y","C","D")))</f>
        <v>A</v>
      </c>
      <c r="G217" s="138" t="str">
        <f>IF(AND(OR([6]Reliability!F53="Y",[6]Reliability!F54="Y"),[6]Reliability!F48="Y",[6]Reliability!F46="Y"),"A",IF(AND([6]Reliability!F47="Y",[6]Reliability!F48="Y"),"B",IF([6]Reliability!F49="Y","C","D")))</f>
        <v>D</v>
      </c>
      <c r="H217" s="138" t="str">
        <f>IF(AND(OR([6]Reliability!G53="Y",[6]Reliability!G54="Y"),[6]Reliability!G48="Y",[6]Reliability!G46="Y"),"A",IF(AND([6]Reliability!G47="Y",[6]Reliability!G48="Y"),"B",IF([6]Reliability!G49="Y","C","D")))</f>
        <v>D</v>
      </c>
    </row>
    <row r="218" spans="1:8">
      <c r="A218" s="89">
        <v>4</v>
      </c>
      <c r="B218" s="173" t="s">
        <v>926</v>
      </c>
      <c r="C218" s="174"/>
      <c r="D218" s="138"/>
      <c r="E218" s="138" t="str">
        <f>IF(AND(OR([6]Reliability!D57="Y",[6]Reliability!D58="Y"),[6]Reliability!D48="Y",[6]Reliability!D46="Y"),"A",IF(AND([6]Reliability!D47="Y",[6]Reliability!D48="Y"),"B",IF([6]Reliability!D49="Y","C","D")))</f>
        <v>A</v>
      </c>
      <c r="F218" s="138" t="str">
        <f>IF(AND(OR([6]Reliability!E57="Y",[6]Reliability!E58="Y"),[6]Reliability!E48="Y",[6]Reliability!E46="Y"),"A",IF(AND([6]Reliability!E47="Y",[6]Reliability!E48="Y"),"B",IF([6]Reliability!E49="Y","C","D")))</f>
        <v>A</v>
      </c>
      <c r="G218" s="138" t="str">
        <f>IF(AND(OR([6]Reliability!F57="Y",[6]Reliability!F58="Y"),[6]Reliability!F48="Y",[6]Reliability!F46="Y"),"A",IF(AND([6]Reliability!F47="Y",[6]Reliability!F48="Y"),"B",IF([6]Reliability!F49="Y","C","D")))</f>
        <v>D</v>
      </c>
      <c r="H218" s="138" t="str">
        <f>IF(AND(OR([6]Reliability!G57="Y",[6]Reliability!G58="Y"),[6]Reliability!G48="Y",[6]Reliability!G46="Y"),"A",IF(AND([6]Reliability!G47="Y",[6]Reliability!G48="Y"),"B",IF([6]Reliability!G49="Y","C","D")))</f>
        <v>D</v>
      </c>
    </row>
    <row r="220" spans="1:8">
      <c r="A220" s="165" t="s">
        <v>256</v>
      </c>
      <c r="B220" s="87" t="s">
        <v>455</v>
      </c>
      <c r="C220" s="88" t="s">
        <v>258</v>
      </c>
      <c r="D220" s="88" t="str">
        <f>'[6]General Info'!D4</f>
        <v>FY 2008-2009</v>
      </c>
      <c r="E220" s="88" t="str">
        <f>'[6]General Info'!E4</f>
        <v>FY 2009-2010</v>
      </c>
      <c r="F220" s="88" t="str">
        <f>'[6]General Info'!F4</f>
        <v>FY 2010-2011</v>
      </c>
      <c r="G220" s="88" t="str">
        <f>'[6]General Info'!G4</f>
        <v>FY 2011-2012</v>
      </c>
      <c r="H220" s="88" t="str">
        <f>'[6]General Info'!H4</f>
        <v>FY 2012-2013</v>
      </c>
    </row>
    <row r="221" spans="1:8">
      <c r="A221" s="166"/>
      <c r="B221" s="239" t="s">
        <v>928</v>
      </c>
      <c r="C221" s="175"/>
      <c r="D221" s="168"/>
      <c r="E221" s="168"/>
      <c r="F221" s="168"/>
      <c r="G221" s="168"/>
      <c r="H221" s="168"/>
    </row>
    <row r="222" spans="1:8">
      <c r="A222" s="166">
        <v>1</v>
      </c>
      <c r="B222" s="167" t="s">
        <v>929</v>
      </c>
      <c r="C222" s="175" t="s">
        <v>268</v>
      </c>
      <c r="D222" s="168">
        <f>IF(OR(D34="na",D7="na"),"na",IF(OR(D34="nd",D7="nd"),"nd",D34/D7*100))</f>
        <v>0</v>
      </c>
      <c r="E222" s="168">
        <f>IF(OR(E34="na",E7="na"),"na",IF(OR(E34="nd",E7="nd"),"nd",E34/E7*100))</f>
        <v>100</v>
      </c>
      <c r="F222" s="168">
        <f>IF(OR(F34="na",F7="na"),"na",IF(OR(F34="nd",F7="nd"),"nd",F34/F7*100))</f>
        <v>100</v>
      </c>
      <c r="G222" s="168">
        <f>IF(OR(G34="na",G7="na"),"na",IF(OR(G34="nd",G7="nd"),"nd",G34/G7*100))</f>
        <v>100</v>
      </c>
      <c r="H222" s="168">
        <f>IF(OR(H34="na",H7="na"),"na",IF(OR(H34="nd",H7="nd"),"nd",H34/H7*100))</f>
        <v>100</v>
      </c>
    </row>
    <row r="223" spans="1:8">
      <c r="A223" s="166">
        <v>2</v>
      </c>
      <c r="B223" s="167" t="s">
        <v>930</v>
      </c>
      <c r="C223" s="175" t="s">
        <v>268</v>
      </c>
      <c r="D223" s="168">
        <f>IF(OR(D44="na",D7="na"),"na",IF(OR(D44="nd",D7="nd"),"nd",D44/D7*100))</f>
        <v>0</v>
      </c>
      <c r="E223" s="168">
        <f>IF(OR(E44="na",E7="na"),"na",IF(OR(E44="nd",E7="nd"),"nd",E44/E7*100))</f>
        <v>88.888888888888886</v>
      </c>
      <c r="F223" s="168">
        <f>IF(OR(F44="na",F7="na"),"na",IF(OR(F44="nd",F7="nd"),"nd",F44/F7*100))</f>
        <v>87.5</v>
      </c>
      <c r="G223" s="168">
        <f>IF(OR(G44="na",G7="na"),"na",IF(OR(G44="nd",G7="nd"),"nd",G44/G7*100))</f>
        <v>87.5</v>
      </c>
      <c r="H223" s="168">
        <f>IF(OR(H44="na",H7="na"),"na",IF(OR(H44="nd",H7="nd"),"nd",H44/H7*100))</f>
        <v>87.5</v>
      </c>
    </row>
    <row r="224" spans="1:8">
      <c r="A224" s="166">
        <v>3</v>
      </c>
      <c r="B224" s="167" t="s">
        <v>931</v>
      </c>
      <c r="C224" s="175" t="s">
        <v>459</v>
      </c>
      <c r="D224" s="168">
        <f>IF(D15="na","na",IF(D15="nd","nd",D15))</f>
        <v>0</v>
      </c>
      <c r="E224" s="168" t="str">
        <f>IF(E15="na","na",IF(E15="nd","nd",E15))</f>
        <v>YES</v>
      </c>
      <c r="F224" s="168" t="str">
        <f>IF(F15="na","na",IF(F15="nd","nd",F15))</f>
        <v>YES</v>
      </c>
      <c r="G224" s="168" t="str">
        <f>IF(G15="na","na",IF(G15="nd","nd",G15))</f>
        <v>YES</v>
      </c>
      <c r="H224" s="168" t="str">
        <f>IF(H15="na","na",IF(H15="nd","nd",H15))</f>
        <v>YES</v>
      </c>
    </row>
    <row r="225" spans="1:8">
      <c r="A225" s="166">
        <v>4</v>
      </c>
      <c r="B225" s="167" t="s">
        <v>932</v>
      </c>
      <c r="C225" s="175" t="s">
        <v>459</v>
      </c>
      <c r="D225" s="168" t="str">
        <f>IF(D27="na","na",IF(D27="nd","nd",IF(D27=1,"N","Y")))</f>
        <v>Y</v>
      </c>
      <c r="E225" s="168" t="str">
        <f>IF(E27="na","na",IF(E27="nd","nd",IF(E27=1,"N","Y")))</f>
        <v>Y</v>
      </c>
      <c r="F225" s="168" t="str">
        <f>IF(F27="na","na",IF(F27="nd","nd",IF(F27=1,"N","Y")))</f>
        <v>Y</v>
      </c>
      <c r="G225" s="168" t="str">
        <f>IF(G27="na","na",IF(G27="nd","nd",IF(G27=1,"N","Y")))</f>
        <v>Y</v>
      </c>
      <c r="H225" s="168" t="str">
        <f>IF(H27="na","na",IF(H27="nd","nd",IF(H27=1,"N","Y")))</f>
        <v>Y</v>
      </c>
    </row>
    <row r="226" spans="1:8">
      <c r="A226" s="166">
        <v>5</v>
      </c>
      <c r="B226" s="167" t="s">
        <v>933</v>
      </c>
      <c r="C226" s="175" t="s">
        <v>268</v>
      </c>
      <c r="D226" s="168">
        <f>IF(OR(D35="na",D9="na",D36="na"),"na",IF(OR(D35="nd",D9="nd",D36="nd"),"nd",IF(D9=0,0,(D36/(D9-D35))*100)))</f>
        <v>0</v>
      </c>
      <c r="E226" s="168" t="str">
        <f>IF(OR(E35="na",E9="na",E36="na"),"na",IF(OR(E35="nd",E9="nd",E36="nd"),"nd",IF(E9=0,0,(E36/(E9-E35))*100)))</f>
        <v>nd</v>
      </c>
      <c r="F226" s="168" t="str">
        <f>IF(OR(F35="na",F9="na",F36="na"),"na",IF(OR(F35="nd",F9="nd",F36="nd"),"nd",IF(F9=0,0,(F36/(F9-F35))*100)))</f>
        <v>nd</v>
      </c>
      <c r="G226" s="168" t="str">
        <f>IF(OR(G35="na",G9="na",G36="na"),"na",IF(OR(G35="nd",G9="nd",G36="nd"),"nd",IF(G9=0,0,(G36/(G9-G35))*100)))</f>
        <v>nd</v>
      </c>
      <c r="H226" s="168">
        <f>IF(OR(H35="na",H9="na",H36="na"),"na",IF(OR(H35="nd",H9="nd",H36="nd"),"nd",IF(H9=0,0,(H36/(H9-H35))*100)))</f>
        <v>41.388888888888886</v>
      </c>
    </row>
    <row r="227" spans="1:8">
      <c r="A227" s="166">
        <v>6</v>
      </c>
      <c r="B227" s="167" t="s">
        <v>934</v>
      </c>
      <c r="C227" s="175" t="s">
        <v>271</v>
      </c>
      <c r="D227" s="168">
        <f>IF(D41="na","na",IF(D41="nd","nd",D41))</f>
        <v>0</v>
      </c>
      <c r="E227" s="168" t="str">
        <f>IF(E41="na","na",IF(E41="nd","nd",E41))</f>
        <v>nd</v>
      </c>
      <c r="F227" s="168" t="str">
        <f>IF(F41="na","na",IF(F41="nd","nd",F41))</f>
        <v>nd</v>
      </c>
      <c r="G227" s="168">
        <f>IF(G41="na","na",IF(G41="nd","nd",G41))</f>
        <v>100</v>
      </c>
      <c r="H227" s="168">
        <f>IF(H41="na","na",IF(H41="nd","nd",H41))</f>
        <v>101</v>
      </c>
    </row>
    <row r="228" spans="1:8">
      <c r="A228" s="166">
        <v>7</v>
      </c>
      <c r="B228" s="167" t="s">
        <v>935</v>
      </c>
      <c r="C228" s="175" t="s">
        <v>268</v>
      </c>
      <c r="D228" s="168">
        <f>IF('[6]General Info'!D16="na","na",IF(OR('[6]General Info'!D16="nd",D40="nd",D42="nd",D43="nd"),"nd",IF('[6]General Info'!D16=0,0,('[6]General Info'!D16-SUM(D40,SUM(D42,D43)*10))/'[6]General Info'!D16*100)))</f>
        <v>84</v>
      </c>
      <c r="E228" s="168" t="str">
        <f>IF('[6]General Info'!E16="na","na",IF(OR('[6]General Info'!E16="nd",E40="nd",E42="nd",E43="nd"),"nd",IF('[6]General Info'!E16=0,0,('[6]General Info'!E16-SUM(E40,SUM(E42,E43)*10))/'[6]General Info'!E16*100)))</f>
        <v>nd</v>
      </c>
      <c r="F228" s="168" t="str">
        <f>IF('[6]General Info'!F16="na","na",IF(OR('[6]General Info'!F16="nd",F40="nd",F42="nd",F43="nd"),"nd",IF('[6]General Info'!F16=0,0,('[6]General Info'!F16-SUM(F40,SUM(F42,F43)*10))/'[6]General Info'!F16*100)))</f>
        <v>nd</v>
      </c>
      <c r="G228" s="168">
        <f>IF('[6]General Info'!G16="na","na",IF(OR('[6]General Info'!G16="nd",G40="nd",G42="nd",G43="nd"),"nd",IF('[6]General Info'!G16=0,0,('[6]General Info'!G16-SUM(G40,SUM(G42,G43)*10))/'[6]General Info'!G16*100)))</f>
        <v>20.496499045194145</v>
      </c>
      <c r="H228" s="168" t="str">
        <f>IF('[6]General Info'!H16="na","na",IF(OR('[6]General Info'!H16="nd",H40="nd",H42="nd",H43="nd"),"nd",IF('[6]General Info'!H16=0,0,('[6]General Info'!H16-SUM(H40,SUM(H42,H43)*10))/'[6]General Info'!H16*100)))</f>
        <v>nd</v>
      </c>
    </row>
    <row r="229" spans="1:8">
      <c r="A229" s="166">
        <v>8</v>
      </c>
      <c r="B229" s="167" t="s">
        <v>936</v>
      </c>
      <c r="C229" s="175" t="s">
        <v>268</v>
      </c>
      <c r="D229" s="168">
        <f>IF(OR(D8="na",D10="na"),"na",IF(OR(D8="nd",D10="nd",D35="nd",D37="nd",D38="nd"),"nd",IF(D8=0,0,SUM((D35*D10),(D37*25),(D38*125))/D8*100)))</f>
        <v>5.2631578947368416</v>
      </c>
      <c r="E229" s="168" t="e">
        <f>IF(OR(E8="na",E10="na"),"na",IF(OR(E8="nd",E10="nd",E35="nd",E37="nd",E38="nd"),"nd",IF(E8=0,0,SUM((E35*E10),(E37*25),(E38*125))/E8*100)))</f>
        <v>#VALUE!</v>
      </c>
      <c r="F229" s="168" t="e">
        <f>IF(OR(F8="na",F10="na"),"na",IF(OR(F8="nd",F10="nd",F35="nd",F37="nd",F38="nd"),"nd",IF(F8=0,0,SUM((F35*F10),(F37*25),(F38*125))/F8*100)))</f>
        <v>#VALUE!</v>
      </c>
      <c r="G229" s="168" t="e">
        <f>IF(OR(G8="na",G10="na"),"na",IF(OR(G8="nd",G10="nd",G35="nd",G37="nd",G38="nd"),"nd",IF(G8=0,0,SUM((G35*G10),(G37*25),(G38*125))/G8*100)))</f>
        <v>#VALUE!</v>
      </c>
      <c r="H229" s="168" t="e">
        <f>IF(OR(H8="na",H10="na"),"na",IF(OR(H8="nd",H10="nd",H35="nd",H37="nd",H38="nd"),"nd",IF(H8=0,0,SUM((H35*H10),(H37*25),(H38*125))/H8*100)))</f>
        <v>#VALUE!</v>
      </c>
    </row>
    <row r="230" spans="1:8">
      <c r="A230" s="166">
        <v>9</v>
      </c>
      <c r="B230" s="167" t="s">
        <v>937</v>
      </c>
      <c r="C230" s="175" t="s">
        <v>268</v>
      </c>
      <c r="D230" s="168">
        <f>IF(OR(D8="na",D10="na"),"na",IF(OR(D8="nd",D10="nd",D40="nd",D42="nd",D43="nd"),"nd",IF(D8=0,0,(SUM(D40,(SUM(D42,D43)*10)*D10)/D8*100))))</f>
        <v>16</v>
      </c>
      <c r="E230" s="168" t="str">
        <f>IF(OR(E8="na",E10="na"),"na",IF(OR(E8="nd",E10="nd",E40="nd",E42="nd",E43="nd"),"nd",IF(E8=0,0,(SUM(E40,(SUM(E42,E43)*10)*E10)/E8*100))))</f>
        <v>nd</v>
      </c>
      <c r="F230" s="168" t="str">
        <f>IF(OR(F8="na",F10="na"),"na",IF(OR(F8="nd",F10="nd",F40="nd",F42="nd",F43="nd"),"nd",IF(F8=0,0,(SUM(F40,(SUM(F42,F43)*10)*F10)/F8*100))))</f>
        <v>nd</v>
      </c>
      <c r="G230" s="168">
        <f>IF(OR(G8="na",G10="na"),"na",IF(OR(G8="nd",G10="nd",G40="nd",G42="nd",G43="nd"),"nd",IF(G8=0,0,(SUM(G40,(SUM(G42,G43)*10)*G10)/G8*100))))</f>
        <v>22.079415459943519</v>
      </c>
      <c r="H230" s="168" t="str">
        <f>IF(OR(H8="na",H10="na"),"na",IF(OR(H8="nd",H10="nd",H40="nd",H42="nd",H43="nd"),"nd",IF(H8=0,0,(SUM(H40,(SUM(H42,H43)*10)*H10)/H8*100))))</f>
        <v>nd</v>
      </c>
    </row>
    <row r="231" spans="1:8">
      <c r="A231" s="166">
        <v>10</v>
      </c>
      <c r="B231" s="167" t="s">
        <v>938</v>
      </c>
      <c r="C231" s="175" t="s">
        <v>268</v>
      </c>
      <c r="D231" s="168">
        <f>IF(D23="na","na",IF(D23="nd","nd",D23))</f>
        <v>0</v>
      </c>
      <c r="E231" s="168" t="str">
        <f>IF(E23="na","na",IF(E23="nd","nd",E23))</f>
        <v>nd</v>
      </c>
      <c r="F231" s="168" t="str">
        <f>IF(F23="na","na",IF(F23="nd","nd",F23))</f>
        <v>nd</v>
      </c>
      <c r="G231" s="168">
        <f>IF(G23="na","na",IF(G23="nd","nd",G23))</f>
        <v>10</v>
      </c>
      <c r="H231" s="168">
        <f>IF(H23="na","na",IF(H23="nd","nd",H23))</f>
        <v>15</v>
      </c>
    </row>
    <row r="232" spans="1:8">
      <c r="A232" s="166">
        <v>11</v>
      </c>
      <c r="B232" s="167" t="s">
        <v>939</v>
      </c>
      <c r="C232" s="175" t="s">
        <v>268</v>
      </c>
      <c r="D232" s="168" t="e">
        <f>IF(D25="na","na",IF(OR(D25="nd",D202="nd"),"nd",D25/D202*100))</f>
        <v>#DIV/0!</v>
      </c>
      <c r="E232" s="168">
        <f>IF(E25="na","na",IF(OR(E25="nd",E202="nd"),"nd",E25/E202*100))</f>
        <v>100</v>
      </c>
      <c r="F232" s="168">
        <f>IF(F25="na","na",IF(OR(F25="nd",F202="nd"),"nd",F25/F202*100))</f>
        <v>100</v>
      </c>
      <c r="G232" s="168">
        <f>IF(G25="na","na",IF(OR(G25="nd",G202="nd"),"nd",G25/G202*100))</f>
        <v>100</v>
      </c>
      <c r="H232" s="168">
        <f>IF(H25="na","na",IF(OR(H25="nd",H202="nd"),"nd",H25/H202*100))</f>
        <v>100</v>
      </c>
    </row>
    <row r="233" spans="1:8">
      <c r="A233" s="166">
        <v>12</v>
      </c>
      <c r="B233" s="167" t="s">
        <v>940</v>
      </c>
      <c r="C233" s="175" t="s">
        <v>268</v>
      </c>
      <c r="D233" s="168" t="e">
        <f>IF(OR([6]sewerage!D112="na",[6]sewerage!D111="na"),"na",IF(OR([6]sewerage!D112="nd",[6]sewerage!D111="nd"),"nd",[6]sewerage!D112/[6]sewerage!D111*100))</f>
        <v>#DIV/0!</v>
      </c>
      <c r="E233" s="168">
        <f>IF(OR([6]sewerage!E112="na",[6]sewerage!E111="na"),"na",IF(OR([6]sewerage!E112="nd",[6]sewerage!E111="nd"),"nd",[6]sewerage!E112/[6]sewerage!E111*100))</f>
        <v>100</v>
      </c>
      <c r="F233" s="168">
        <f>IF(OR([6]sewerage!F112="na",[6]sewerage!F111="na"),"na",IF(OR([6]sewerage!F112="nd",[6]sewerage!F111="nd"),"nd",[6]sewerage!F112/[6]sewerage!F111*100))</f>
        <v>100</v>
      </c>
      <c r="G233" s="168">
        <f>IF(OR([6]sewerage!G112="na",[6]sewerage!G111="na"),"na",IF(OR([6]sewerage!G112="nd",[6]sewerage!G111="nd"),"nd",[6]sewerage!G112/[6]sewerage!G111*100))</f>
        <v>100</v>
      </c>
      <c r="H233" s="168">
        <f>IF(OR([6]sewerage!H112="na",[6]sewerage!H111="na"),"na",IF(OR([6]sewerage!H112="nd",[6]sewerage!H111="nd"),"nd",[6]sewerage!H112/[6]sewerage!H111*100))</f>
        <v>100</v>
      </c>
    </row>
    <row r="234" spans="1:8">
      <c r="A234" s="166">
        <v>13</v>
      </c>
      <c r="B234" s="167" t="s">
        <v>941</v>
      </c>
      <c r="C234" s="175" t="s">
        <v>268</v>
      </c>
      <c r="D234" s="168">
        <f>IF(D24="na","na",IF(D24="nd","nd",D24))</f>
        <v>0</v>
      </c>
      <c r="E234" s="168" t="str">
        <f>IF(E24="na","na",IF(E24="nd","nd",E24))</f>
        <v>nd</v>
      </c>
      <c r="F234" s="168" t="str">
        <f>IF(F24="na","na",IF(F24="nd","nd",F24))</f>
        <v>nd</v>
      </c>
      <c r="G234" s="168">
        <f>IF(G24="na","na",IF(G24="nd","nd",G24))</f>
        <v>8</v>
      </c>
      <c r="H234" s="168">
        <f>IF(H24="na","na",IF(H24="nd","nd",H24))</f>
        <v>10</v>
      </c>
    </row>
    <row r="235" spans="1:8">
      <c r="A235" s="240"/>
      <c r="B235" s="241"/>
      <c r="C235" s="241"/>
      <c r="D235" s="241"/>
      <c r="E235" s="188"/>
      <c r="F235" s="188"/>
      <c r="G235" s="188"/>
      <c r="H235" s="188"/>
    </row>
    <row r="236" spans="1:8">
      <c r="A236" s="88"/>
      <c r="B236" s="242" t="s">
        <v>942</v>
      </c>
      <c r="C236" s="88" t="s">
        <v>258</v>
      </c>
      <c r="D236" s="88" t="str">
        <f>'[6]General Info'!D4</f>
        <v>FY 2008-2009</v>
      </c>
      <c r="E236" s="88" t="str">
        <f>'[6]General Info'!E4</f>
        <v>FY 2009-2010</v>
      </c>
      <c r="F236" s="88" t="str">
        <f>'[6]General Info'!F4</f>
        <v>FY 2010-2011</v>
      </c>
      <c r="G236" s="88" t="str">
        <f>'[6]General Info'!G4</f>
        <v>FY 2011-2012</v>
      </c>
      <c r="H236" s="88" t="str">
        <f>'[6]General Info'!H4</f>
        <v>FY 2012-2013</v>
      </c>
    </row>
    <row r="237" spans="1:8" ht="21.75" thickBot="1">
      <c r="A237" s="243">
        <v>1</v>
      </c>
      <c r="B237" s="244" t="s">
        <v>943</v>
      </c>
      <c r="C237" s="243"/>
      <c r="D237" s="245"/>
      <c r="E237" s="245"/>
      <c r="F237" s="245"/>
      <c r="G237" s="245"/>
      <c r="H237" s="245"/>
    </row>
    <row r="238" spans="1:8" ht="18" thickBot="1">
      <c r="A238" s="246"/>
      <c r="B238" s="247" t="s">
        <v>944</v>
      </c>
      <c r="C238" s="248" t="s">
        <v>459</v>
      </c>
      <c r="D238" s="248">
        <f>D16</f>
        <v>0</v>
      </c>
      <c r="E238" s="248" t="str">
        <f>E16</f>
        <v>NO</v>
      </c>
      <c r="F238" s="248" t="str">
        <f>F16</f>
        <v>NO</v>
      </c>
      <c r="G238" s="248" t="str">
        <f>G16</f>
        <v>NO</v>
      </c>
      <c r="H238" s="248" t="str">
        <f>H16</f>
        <v>NO</v>
      </c>
    </row>
    <row r="239" spans="1:8" ht="18" thickBot="1">
      <c r="A239" s="246"/>
      <c r="B239" s="247" t="s">
        <v>945</v>
      </c>
      <c r="C239" s="248" t="s">
        <v>459</v>
      </c>
      <c r="D239" s="249">
        <f>IF(OR(D27=1,D27=2,D27=3),"Y",0)</f>
        <v>0</v>
      </c>
      <c r="E239" s="249">
        <f>IF(OR(E27=1,E27=2,E27=3),"Y",0)</f>
        <v>0</v>
      </c>
      <c r="F239" s="249">
        <f>IF(OR(F27=1,F27=2,F27=3),"Y",0)</f>
        <v>0</v>
      </c>
      <c r="G239" s="249">
        <f>IF(OR(G27=1,G27=2,G27=3),"Y",0)</f>
        <v>0</v>
      </c>
      <c r="H239" s="249">
        <f>IF(OR(H27=1,H27=2,H27=3),"Y",0)</f>
        <v>0</v>
      </c>
    </row>
    <row r="240" spans="1:8" ht="18" thickBot="1">
      <c r="A240" s="246"/>
      <c r="B240" s="247" t="s">
        <v>946</v>
      </c>
      <c r="C240" s="248" t="s">
        <v>459</v>
      </c>
      <c r="D240" s="248">
        <f>D21</f>
        <v>0</v>
      </c>
      <c r="E240" s="248" t="str">
        <f>E21</f>
        <v>NO</v>
      </c>
      <c r="F240" s="248" t="str">
        <f>F21</f>
        <v>NO</v>
      </c>
      <c r="G240" s="248" t="str">
        <f>G21</f>
        <v>NO</v>
      </c>
      <c r="H240" s="248" t="str">
        <f>H21</f>
        <v>NO</v>
      </c>
    </row>
    <row r="241" spans="1:8" ht="21.75" thickBot="1">
      <c r="A241" s="243">
        <v>2</v>
      </c>
      <c r="B241" s="244" t="s">
        <v>947</v>
      </c>
      <c r="C241" s="250"/>
      <c r="D241" s="250"/>
      <c r="E241" s="250"/>
      <c r="F241" s="250"/>
      <c r="G241" s="250"/>
      <c r="H241" s="250"/>
    </row>
    <row r="242" spans="1:8" ht="18" thickBot="1">
      <c r="A242" s="246"/>
      <c r="B242" s="247" t="s">
        <v>948</v>
      </c>
      <c r="C242" s="248" t="s">
        <v>459</v>
      </c>
      <c r="D242" s="248">
        <f>D20</f>
        <v>0</v>
      </c>
      <c r="E242" s="248" t="str">
        <f>E20</f>
        <v>NO</v>
      </c>
      <c r="F242" s="248" t="str">
        <f>F20</f>
        <v>NO</v>
      </c>
      <c r="G242" s="248" t="str">
        <f>G20</f>
        <v>YES</v>
      </c>
      <c r="H242" s="248" t="str">
        <f>H20</f>
        <v>YES</v>
      </c>
    </row>
    <row r="243" spans="1:8" ht="18" thickBot="1">
      <c r="A243" s="246"/>
      <c r="B243" s="247" t="s">
        <v>949</v>
      </c>
      <c r="C243" s="248" t="s">
        <v>459</v>
      </c>
      <c r="D243" s="249" t="str">
        <f>IF(D36&gt;0,"Y","N")</f>
        <v>N</v>
      </c>
      <c r="E243" s="249" t="str">
        <f>IF(E36&gt;0,"Y","N")</f>
        <v>Y</v>
      </c>
      <c r="F243" s="249" t="str">
        <f>IF(F36&gt;0,"Y","N")</f>
        <v>Y</v>
      </c>
      <c r="G243" s="249" t="str">
        <f>IF(G36&gt;0,"Y","N")</f>
        <v>Y</v>
      </c>
      <c r="H243" s="249" t="str">
        <f>IF(H36&gt;0,"Y","N")</f>
        <v>Y</v>
      </c>
    </row>
    <row r="244" spans="1:8" ht="18" thickBot="1">
      <c r="A244" s="246"/>
      <c r="B244" s="247" t="s">
        <v>950</v>
      </c>
      <c r="C244" s="248" t="s">
        <v>459</v>
      </c>
      <c r="D244" s="249" t="str">
        <f>IF(D41&gt;0,"Y","N")</f>
        <v>N</v>
      </c>
      <c r="E244" s="249" t="str">
        <f>IF(E41&gt;0,"Y","N")</f>
        <v>Y</v>
      </c>
      <c r="F244" s="249" t="str">
        <f>IF(F41&gt;0,"Y","N")</f>
        <v>Y</v>
      </c>
      <c r="G244" s="249" t="str">
        <f>IF(G41&gt;0,"Y","N")</f>
        <v>Y</v>
      </c>
      <c r="H244" s="249" t="str">
        <f>IF(H41&gt;0,"Y","N")</f>
        <v>Y</v>
      </c>
    </row>
    <row r="245" spans="1:8" ht="18" thickBot="1">
      <c r="A245" s="246"/>
      <c r="B245" s="247" t="s">
        <v>951</v>
      </c>
      <c r="C245" s="248" t="s">
        <v>459</v>
      </c>
      <c r="D245" s="249" t="str">
        <f t="shared" ref="D245:H246" si="0">IF(D209&gt;50,"Y","N")</f>
        <v>N</v>
      </c>
      <c r="E245" s="249" t="str">
        <f t="shared" si="0"/>
        <v>Y</v>
      </c>
      <c r="F245" s="249" t="str">
        <f t="shared" si="0"/>
        <v>Y</v>
      </c>
      <c r="G245" s="249" t="str">
        <f t="shared" si="0"/>
        <v>Y</v>
      </c>
      <c r="H245" s="249" t="str">
        <f t="shared" si="0"/>
        <v>Y</v>
      </c>
    </row>
    <row r="246" spans="1:8" ht="18" thickBot="1">
      <c r="A246" s="251"/>
      <c r="B246" s="247" t="s">
        <v>952</v>
      </c>
      <c r="C246" s="248" t="s">
        <v>459</v>
      </c>
      <c r="D246" s="249" t="str">
        <f t="shared" si="0"/>
        <v>N</v>
      </c>
      <c r="E246" s="249" t="str">
        <f t="shared" si="0"/>
        <v>Y</v>
      </c>
      <c r="F246" s="249" t="str">
        <f t="shared" si="0"/>
        <v>Y</v>
      </c>
      <c r="G246" s="249" t="str">
        <f t="shared" si="0"/>
        <v>Y</v>
      </c>
      <c r="H246" s="249" t="str">
        <f t="shared" si="0"/>
        <v>Y</v>
      </c>
    </row>
    <row r="247" spans="1:8">
      <c r="A247" s="240"/>
      <c r="B247" s="241"/>
      <c r="C247" s="241"/>
      <c r="D247" s="241"/>
      <c r="E247" s="188"/>
      <c r="F247" s="188"/>
      <c r="G247" s="188"/>
      <c r="H247" s="188"/>
    </row>
    <row r="248" spans="1:8">
      <c r="A248" s="88"/>
      <c r="B248" s="93" t="s">
        <v>953</v>
      </c>
      <c r="C248" s="94"/>
      <c r="D248" s="88" t="str">
        <f>'[6]General Info'!D4</f>
        <v>FY 2008-2009</v>
      </c>
      <c r="E248" s="88" t="str">
        <f>'[6]General Info'!E4</f>
        <v>FY 2009-2010</v>
      </c>
      <c r="F248" s="88" t="str">
        <f>'[6]General Info'!F4</f>
        <v>FY 2010-2011</v>
      </c>
      <c r="G248" s="88" t="str">
        <f>'[6]General Info'!G4</f>
        <v>FY 2011-2012</v>
      </c>
      <c r="H248" s="88" t="str">
        <f>'[6]General Info'!H4</f>
        <v>FY 2012-2013</v>
      </c>
    </row>
    <row r="249" spans="1:8" ht="21.75" thickBot="1">
      <c r="A249" s="243">
        <v>1</v>
      </c>
      <c r="B249" s="252" t="s">
        <v>943</v>
      </c>
      <c r="C249" s="174"/>
      <c r="D249" s="243">
        <f>SUM(D250:D252)</f>
        <v>1</v>
      </c>
      <c r="E249" s="243">
        <f>SUM(E250:E252)</f>
        <v>1</v>
      </c>
      <c r="F249" s="243">
        <f>SUM(F250:F252)</f>
        <v>1</v>
      </c>
      <c r="G249" s="243">
        <f>SUM(G250:G252)</f>
        <v>1</v>
      </c>
      <c r="H249" s="243">
        <f>SUM(H250:H252)</f>
        <v>1</v>
      </c>
    </row>
    <row r="250" spans="1:8" ht="15.75" thickBot="1">
      <c r="A250" s="246"/>
      <c r="B250" s="253" t="s">
        <v>944</v>
      </c>
      <c r="C250" s="174"/>
      <c r="D250" s="249">
        <f>IF(D238="Y",1,0)</f>
        <v>0</v>
      </c>
      <c r="E250" s="249">
        <f>IF(E238="Y",1,0)</f>
        <v>0</v>
      </c>
      <c r="F250" s="249">
        <f>IF(F238="Y",1,0)</f>
        <v>0</v>
      </c>
      <c r="G250" s="249">
        <f>IF(G238="Y",1,0)</f>
        <v>0</v>
      </c>
      <c r="H250" s="249">
        <f>IF(H238="Y",1,0)</f>
        <v>0</v>
      </c>
    </row>
    <row r="251" spans="1:8" ht="15.75" thickBot="1">
      <c r="A251" s="246"/>
      <c r="B251" s="253" t="s">
        <v>945</v>
      </c>
      <c r="C251" s="174"/>
      <c r="D251" s="249">
        <f>IF(D239="Y",0,1)</f>
        <v>1</v>
      </c>
      <c r="E251" s="249">
        <f>IF(E239="Y",0,1)</f>
        <v>1</v>
      </c>
      <c r="F251" s="249">
        <f>IF(F239="Y",0,1)</f>
        <v>1</v>
      </c>
      <c r="G251" s="249">
        <f>IF(G239="Y",0,1)</f>
        <v>1</v>
      </c>
      <c r="H251" s="249">
        <f>IF(H239="Y",0,1)</f>
        <v>1</v>
      </c>
    </row>
    <row r="252" spans="1:8" ht="15.75" thickBot="1">
      <c r="A252" s="246"/>
      <c r="B252" s="253" t="s">
        <v>946</v>
      </c>
      <c r="C252" s="174"/>
      <c r="D252" s="249">
        <f>IF(D240="Y",1,0)</f>
        <v>0</v>
      </c>
      <c r="E252" s="249">
        <f>IF(E240="Y",1,0)</f>
        <v>0</v>
      </c>
      <c r="F252" s="249">
        <f>IF(F240="Y",1,0)</f>
        <v>0</v>
      </c>
      <c r="G252" s="249">
        <f>IF(G240="Y",1,0)</f>
        <v>0</v>
      </c>
      <c r="H252" s="249">
        <f>IF(H240="Y",1,0)</f>
        <v>0</v>
      </c>
    </row>
    <row r="253" spans="1:8" ht="21.75" thickBot="1">
      <c r="A253" s="243">
        <v>2</v>
      </c>
      <c r="B253" s="252" t="s">
        <v>947</v>
      </c>
      <c r="C253" s="174"/>
      <c r="D253" s="243">
        <f>SUM(D254:D258)</f>
        <v>0</v>
      </c>
      <c r="E253" s="243">
        <f>SUM(E254:E258)</f>
        <v>4</v>
      </c>
      <c r="F253" s="243">
        <f>SUM(F254:F258)</f>
        <v>4</v>
      </c>
      <c r="G253" s="243">
        <f>SUM(G254:G258)</f>
        <v>4</v>
      </c>
      <c r="H253" s="243">
        <f>SUM(H254:H258)</f>
        <v>4</v>
      </c>
    </row>
    <row r="254" spans="1:8" ht="15.75" thickBot="1">
      <c r="A254" s="246"/>
      <c r="B254" s="253" t="s">
        <v>948</v>
      </c>
      <c r="C254" s="174"/>
      <c r="D254" s="249">
        <f t="shared" ref="D254:H258" si="1">IF(D242="Y",1,0)</f>
        <v>0</v>
      </c>
      <c r="E254" s="249">
        <f t="shared" si="1"/>
        <v>0</v>
      </c>
      <c r="F254" s="249">
        <f t="shared" si="1"/>
        <v>0</v>
      </c>
      <c r="G254" s="249">
        <f t="shared" si="1"/>
        <v>0</v>
      </c>
      <c r="H254" s="249">
        <f t="shared" si="1"/>
        <v>0</v>
      </c>
    </row>
    <row r="255" spans="1:8" ht="15.75" thickBot="1">
      <c r="A255" s="246"/>
      <c r="B255" s="253" t="s">
        <v>949</v>
      </c>
      <c r="C255" s="174"/>
      <c r="D255" s="249">
        <f t="shared" si="1"/>
        <v>0</v>
      </c>
      <c r="E255" s="249">
        <f t="shared" si="1"/>
        <v>1</v>
      </c>
      <c r="F255" s="249">
        <f t="shared" si="1"/>
        <v>1</v>
      </c>
      <c r="G255" s="249">
        <f t="shared" si="1"/>
        <v>1</v>
      </c>
      <c r="H255" s="249">
        <f t="shared" si="1"/>
        <v>1</v>
      </c>
    </row>
    <row r="256" spans="1:8" ht="15.75" thickBot="1">
      <c r="A256" s="246"/>
      <c r="B256" s="253" t="s">
        <v>950</v>
      </c>
      <c r="C256" s="174"/>
      <c r="D256" s="249">
        <f t="shared" si="1"/>
        <v>0</v>
      </c>
      <c r="E256" s="249">
        <f t="shared" si="1"/>
        <v>1</v>
      </c>
      <c r="F256" s="249">
        <f t="shared" si="1"/>
        <v>1</v>
      </c>
      <c r="G256" s="249">
        <f t="shared" si="1"/>
        <v>1</v>
      </c>
      <c r="H256" s="249">
        <f t="shared" si="1"/>
        <v>1</v>
      </c>
    </row>
    <row r="257" spans="1:8" ht="15.75" thickBot="1">
      <c r="A257" s="246"/>
      <c r="B257" s="253" t="s">
        <v>951</v>
      </c>
      <c r="C257" s="174"/>
      <c r="D257" s="249">
        <f t="shared" si="1"/>
        <v>0</v>
      </c>
      <c r="E257" s="249">
        <f t="shared" si="1"/>
        <v>1</v>
      </c>
      <c r="F257" s="249">
        <f t="shared" si="1"/>
        <v>1</v>
      </c>
      <c r="G257" s="249">
        <f t="shared" si="1"/>
        <v>1</v>
      </c>
      <c r="H257" s="249">
        <f t="shared" si="1"/>
        <v>1</v>
      </c>
    </row>
    <row r="258" spans="1:8" ht="15.75" thickBot="1">
      <c r="A258" s="246"/>
      <c r="B258" s="253" t="s">
        <v>952</v>
      </c>
      <c r="C258" s="174"/>
      <c r="D258" s="249">
        <f t="shared" si="1"/>
        <v>0</v>
      </c>
      <c r="E258" s="249">
        <f t="shared" si="1"/>
        <v>1</v>
      </c>
      <c r="F258" s="249">
        <f t="shared" si="1"/>
        <v>1</v>
      </c>
      <c r="G258" s="249">
        <f t="shared" si="1"/>
        <v>1</v>
      </c>
      <c r="H258" s="249">
        <f t="shared" si="1"/>
        <v>1</v>
      </c>
    </row>
    <row r="259" spans="1:8" ht="21">
      <c r="A259" s="251"/>
      <c r="B259" s="254" t="s">
        <v>953</v>
      </c>
      <c r="C259" s="255"/>
      <c r="D259" s="256">
        <f>D249+D253</f>
        <v>1</v>
      </c>
      <c r="E259" s="256">
        <f>E249+E253</f>
        <v>5</v>
      </c>
      <c r="F259" s="256">
        <f>F249+F253</f>
        <v>5</v>
      </c>
      <c r="G259" s="256">
        <f>G249+G253</f>
        <v>5</v>
      </c>
      <c r="H259" s="256">
        <f>H249+H253</f>
        <v>5</v>
      </c>
    </row>
  </sheetData>
  <mergeCells count="13">
    <mergeCell ref="B50:E50"/>
    <mergeCell ref="A1:F1"/>
    <mergeCell ref="A2:E2"/>
    <mergeCell ref="A3:F3"/>
    <mergeCell ref="B5:E5"/>
    <mergeCell ref="A49:E49"/>
    <mergeCell ref="A181:E181"/>
    <mergeCell ref="A59:E59"/>
    <mergeCell ref="A73:E73"/>
    <mergeCell ref="A79:E79"/>
    <mergeCell ref="A85:E85"/>
    <mergeCell ref="A98:E98"/>
    <mergeCell ref="A161:E161"/>
  </mergeCells>
  <pageMargins left="0.7" right="0.7" top="0.75" bottom="0.75" header="0.51180555555555551" footer="0.51180555555555551"/>
  <pageSetup scale="56" firstPageNumber="0" orientation="portrait" horizontalDpi="300" verticalDpi="300"/>
  <headerFooter alignWithMargins="0"/>
  <rowBreaks count="4" manualBreakCount="4">
    <brk id="47" max="16383" man="1"/>
    <brk id="96" max="16383" man="1"/>
    <brk id="160" max="16383" man="1"/>
    <brk id="207" max="16383" man="1"/>
  </rowBreaks>
  <legacyDrawing r:id="rId1"/>
</worksheet>
</file>

<file path=xl/worksheets/sheet9.xml><?xml version="1.0" encoding="utf-8"?>
<worksheet xmlns="http://schemas.openxmlformats.org/spreadsheetml/2006/main" xmlns:r="http://schemas.openxmlformats.org/officeDocument/2006/relationships">
  <sheetPr codeName="Sheet5"/>
  <dimension ref="A1:U186"/>
  <sheetViews>
    <sheetView showGridLines="0" view="pageBreakPreview" zoomScale="85" zoomScaleNormal="70" zoomScaleSheetLayoutView="85" workbookViewId="0">
      <pane ySplit="11" topLeftCell="A12" activePane="bottomLeft" state="frozen"/>
      <selection pane="bottomLeft" activeCell="D8" sqref="D8:E8"/>
    </sheetView>
  </sheetViews>
  <sheetFormatPr defaultRowHeight="15"/>
  <cols>
    <col min="1" max="1" width="12.42578125" style="2" customWidth="1"/>
    <col min="2" max="2" width="3" style="2" customWidth="1"/>
    <col min="3" max="3" width="40.85546875" style="2" customWidth="1"/>
    <col min="4" max="4" width="37.140625" style="2" customWidth="1"/>
    <col min="5" max="5" width="39.7109375" style="2" customWidth="1"/>
    <col min="6" max="6" width="54.28515625" style="2" customWidth="1"/>
    <col min="7" max="7" width="3.42578125" style="2" customWidth="1"/>
    <col min="8" max="9" width="9.140625" style="2"/>
    <col min="10" max="10" width="76.28515625" style="2" customWidth="1"/>
    <col min="11" max="11" width="11" style="2" customWidth="1"/>
    <col min="12" max="12" width="14.7109375" style="2" customWidth="1"/>
    <col min="13" max="16384" width="9.140625" style="2"/>
  </cols>
  <sheetData>
    <row r="1" spans="1:13" hidden="1"/>
    <row r="2" spans="1:13" s="1" customFormat="1" ht="15.75">
      <c r="B2" s="647"/>
      <c r="C2" s="647"/>
      <c r="D2" s="647"/>
      <c r="E2" s="647"/>
      <c r="F2" s="647"/>
      <c r="G2" s="647"/>
    </row>
    <row r="3" spans="1:13" s="1" customFormat="1" ht="6" customHeight="1">
      <c r="B3" s="647"/>
      <c r="C3" s="324"/>
      <c r="D3" s="325"/>
      <c r="E3" s="325"/>
      <c r="F3" s="648"/>
      <c r="G3" s="647"/>
    </row>
    <row r="4" spans="1:13" s="1" customFormat="1" ht="42" customHeight="1">
      <c r="B4" s="647"/>
      <c r="C4" s="829" t="s">
        <v>164</v>
      </c>
      <c r="D4" s="861"/>
      <c r="E4" s="861"/>
      <c r="F4" s="862"/>
      <c r="G4" s="647"/>
    </row>
    <row r="5" spans="1:13" s="1" customFormat="1" ht="33.75" customHeight="1">
      <c r="B5" s="647"/>
      <c r="C5" s="863" t="s">
        <v>254</v>
      </c>
      <c r="D5" s="864"/>
      <c r="E5" s="864"/>
      <c r="F5" s="865"/>
      <c r="G5" s="647"/>
    </row>
    <row r="6" spans="1:13" s="1" customFormat="1" ht="26.25">
      <c r="B6" s="647"/>
      <c r="C6" s="780" t="s">
        <v>245</v>
      </c>
      <c r="D6" s="781"/>
      <c r="E6" s="781"/>
      <c r="F6" s="782"/>
      <c r="G6" s="647"/>
    </row>
    <row r="7" spans="1:13" s="1" customFormat="1" ht="5.25" customHeight="1">
      <c r="B7" s="647"/>
      <c r="C7" s="330"/>
      <c r="D7" s="331"/>
      <c r="E7" s="331"/>
      <c r="F7" s="649"/>
      <c r="G7" s="647"/>
    </row>
    <row r="8" spans="1:13" s="1" customFormat="1" ht="21">
      <c r="B8" s="647"/>
      <c r="C8" s="335" t="s">
        <v>81</v>
      </c>
      <c r="D8" s="866" t="s">
        <v>163</v>
      </c>
      <c r="E8" s="866"/>
      <c r="F8" s="650" t="s">
        <v>221</v>
      </c>
      <c r="G8" s="647"/>
    </row>
    <row r="9" spans="1:13" ht="6" customHeight="1">
      <c r="B9" s="647"/>
      <c r="C9" s="647"/>
      <c r="D9" s="647"/>
      <c r="E9" s="647"/>
      <c r="F9" s="647"/>
      <c r="G9" s="647"/>
      <c r="H9" s="1"/>
      <c r="I9" s="1"/>
      <c r="J9" s="1"/>
      <c r="K9" s="1"/>
    </row>
    <row r="10" spans="1:13" s="7" customFormat="1" ht="19.5" customHeight="1">
      <c r="A10" s="11"/>
      <c r="B10" s="651"/>
      <c r="C10" s="868" t="s">
        <v>242</v>
      </c>
      <c r="D10" s="868"/>
      <c r="E10" s="868"/>
      <c r="F10" s="652" t="s">
        <v>160</v>
      </c>
      <c r="G10" s="653"/>
      <c r="H10" s="12"/>
      <c r="I10" s="12"/>
      <c r="J10" s="12"/>
      <c r="K10" s="12"/>
      <c r="L10" s="12"/>
      <c r="M10" s="12"/>
    </row>
    <row r="11" spans="1:13" ht="21">
      <c r="B11" s="647"/>
      <c r="C11" s="654" t="s">
        <v>217</v>
      </c>
      <c r="D11" s="654" t="s">
        <v>1084</v>
      </c>
      <c r="E11" s="654" t="s">
        <v>159</v>
      </c>
      <c r="F11" s="655"/>
      <c r="G11" s="647"/>
      <c r="H11" s="1"/>
      <c r="I11" s="1"/>
      <c r="J11" s="1"/>
      <c r="K11" s="1"/>
    </row>
    <row r="12" spans="1:13" ht="15.75">
      <c r="B12" s="656"/>
      <c r="C12" s="656"/>
      <c r="D12" s="656"/>
      <c r="E12" s="656"/>
      <c r="F12" s="656"/>
      <c r="G12" s="656"/>
      <c r="H12" s="1"/>
      <c r="I12" s="1"/>
      <c r="J12" s="1"/>
      <c r="K12" s="1"/>
    </row>
    <row r="13" spans="1:13" ht="23.25">
      <c r="B13" s="647"/>
      <c r="C13" s="789" t="s">
        <v>242</v>
      </c>
      <c r="D13" s="789"/>
      <c r="E13" s="789"/>
      <c r="F13" s="789"/>
      <c r="G13" s="647"/>
      <c r="H13" s="1"/>
      <c r="I13" s="1"/>
      <c r="J13" s="1"/>
      <c r="K13" s="1"/>
    </row>
    <row r="14" spans="1:13" ht="15.75">
      <c r="B14" s="647"/>
      <c r="C14" s="867" t="s">
        <v>248</v>
      </c>
      <c r="D14" s="867"/>
      <c r="E14" s="867"/>
      <c r="F14" s="867"/>
      <c r="G14" s="647"/>
      <c r="H14" s="1"/>
      <c r="I14" s="1"/>
      <c r="J14" s="1"/>
      <c r="K14" s="1"/>
    </row>
    <row r="15" spans="1:13" ht="15.75">
      <c r="B15" s="647"/>
      <c r="C15" s="867"/>
      <c r="D15" s="867"/>
      <c r="E15" s="867"/>
      <c r="F15" s="867"/>
      <c r="G15" s="647"/>
      <c r="H15" s="1"/>
      <c r="I15" s="1"/>
      <c r="J15" s="1"/>
      <c r="K15" s="1"/>
    </row>
    <row r="16" spans="1:13" ht="15.75">
      <c r="B16" s="647"/>
      <c r="C16" s="867"/>
      <c r="D16" s="867"/>
      <c r="E16" s="867"/>
      <c r="F16" s="867"/>
      <c r="G16" s="647"/>
      <c r="H16" s="1"/>
      <c r="I16" s="1"/>
      <c r="J16" s="1"/>
      <c r="K16" s="1"/>
    </row>
    <row r="17" spans="2:21" ht="15.75" thickBot="1">
      <c r="B17" s="647"/>
      <c r="C17" s="647"/>
      <c r="D17" s="647"/>
      <c r="E17" s="647"/>
      <c r="F17" s="647"/>
      <c r="G17" s="647"/>
    </row>
    <row r="18" spans="2:21" ht="23.25">
      <c r="B18" s="647"/>
      <c r="C18" s="870" t="s">
        <v>158</v>
      </c>
      <c r="D18" s="871"/>
      <c r="E18" s="871"/>
      <c r="F18" s="872"/>
      <c r="G18" s="647"/>
      <c r="I18" s="8"/>
    </row>
    <row r="19" spans="2:21" ht="18.75">
      <c r="B19" s="647"/>
      <c r="C19" s="657" t="s">
        <v>111</v>
      </c>
      <c r="D19" s="658" t="s">
        <v>112</v>
      </c>
      <c r="E19" s="658" t="s">
        <v>1085</v>
      </c>
      <c r="F19" s="659" t="s">
        <v>1086</v>
      </c>
      <c r="G19" s="647"/>
      <c r="I19" s="8"/>
      <c r="M19" s="8"/>
    </row>
    <row r="20" spans="2:21" ht="17.25">
      <c r="B20" s="647"/>
      <c r="C20" s="660" t="s">
        <v>0</v>
      </c>
      <c r="D20" s="661"/>
      <c r="E20" s="661"/>
      <c r="F20" s="662"/>
      <c r="G20" s="647"/>
      <c r="I20" s="9"/>
    </row>
    <row r="21" spans="2:21" ht="25.5">
      <c r="B21" s="647"/>
      <c r="C21" s="846" t="s">
        <v>1089</v>
      </c>
      <c r="D21" s="663" t="s">
        <v>117</v>
      </c>
      <c r="E21" s="663" t="s">
        <v>143</v>
      </c>
      <c r="F21" s="664" t="s">
        <v>184</v>
      </c>
      <c r="G21" s="647"/>
      <c r="I21" s="8"/>
      <c r="R21"/>
      <c r="S21"/>
      <c r="T21"/>
      <c r="U21"/>
    </row>
    <row r="22" spans="2:21" ht="16.5">
      <c r="B22" s="647"/>
      <c r="C22" s="873"/>
      <c r="D22" s="663" t="s">
        <v>114</v>
      </c>
      <c r="E22" s="663" t="s">
        <v>143</v>
      </c>
      <c r="F22" s="664" t="s">
        <v>185</v>
      </c>
      <c r="G22" s="647"/>
      <c r="I22" s="8"/>
    </row>
    <row r="23" spans="2:21" ht="38.25">
      <c r="B23" s="647"/>
      <c r="C23" s="847"/>
      <c r="D23" s="663" t="s">
        <v>118</v>
      </c>
      <c r="E23" s="663" t="s">
        <v>1090</v>
      </c>
      <c r="F23" s="664" t="s">
        <v>1175</v>
      </c>
      <c r="G23" s="647"/>
      <c r="I23" s="8"/>
    </row>
    <row r="24" spans="2:21" ht="16.5">
      <c r="B24" s="647"/>
      <c r="C24" s="665" t="s">
        <v>2</v>
      </c>
      <c r="D24" s="661"/>
      <c r="E24" s="661"/>
      <c r="F24" s="662"/>
      <c r="G24" s="647"/>
      <c r="I24" s="8"/>
    </row>
    <row r="25" spans="2:21" ht="25.5">
      <c r="B25" s="647"/>
      <c r="C25" s="857" t="s">
        <v>228</v>
      </c>
      <c r="D25" s="663" t="s">
        <v>1091</v>
      </c>
      <c r="E25" s="663" t="s">
        <v>143</v>
      </c>
      <c r="F25" s="664" t="s">
        <v>1095</v>
      </c>
      <c r="G25" s="647"/>
      <c r="I25" s="8"/>
    </row>
    <row r="26" spans="2:21" ht="25.5">
      <c r="B26" s="647"/>
      <c r="C26" s="857"/>
      <c r="D26" s="663" t="s">
        <v>1092</v>
      </c>
      <c r="E26" s="663" t="s">
        <v>144</v>
      </c>
      <c r="F26" s="664" t="s">
        <v>119</v>
      </c>
      <c r="G26" s="647"/>
      <c r="I26" s="8"/>
    </row>
    <row r="27" spans="2:21" ht="25.5">
      <c r="B27" s="647"/>
      <c r="C27" s="857"/>
      <c r="D27" s="663" t="s">
        <v>120</v>
      </c>
      <c r="E27" s="663" t="s">
        <v>145</v>
      </c>
      <c r="F27" s="664" t="s">
        <v>121</v>
      </c>
      <c r="G27" s="647"/>
      <c r="I27" s="8"/>
    </row>
    <row r="28" spans="2:21" ht="63.75">
      <c r="B28" s="647"/>
      <c r="C28" s="857"/>
      <c r="D28" s="663" t="s">
        <v>122</v>
      </c>
      <c r="E28" s="663" t="s">
        <v>143</v>
      </c>
      <c r="F28" s="664" t="s">
        <v>1093</v>
      </c>
      <c r="G28" s="647"/>
      <c r="I28" s="8"/>
    </row>
    <row r="29" spans="2:21" ht="25.5">
      <c r="B29" s="647"/>
      <c r="C29" s="666" t="s">
        <v>229</v>
      </c>
      <c r="D29" s="663" t="s">
        <v>123</v>
      </c>
      <c r="E29" s="663" t="s">
        <v>146</v>
      </c>
      <c r="F29" s="664" t="s">
        <v>1094</v>
      </c>
      <c r="G29" s="647"/>
      <c r="I29" s="8"/>
    </row>
    <row r="30" spans="2:21" ht="16.5">
      <c r="B30" s="647"/>
      <c r="C30" s="665" t="s">
        <v>8</v>
      </c>
      <c r="D30" s="661"/>
      <c r="E30" s="661"/>
      <c r="F30" s="662"/>
      <c r="G30" s="647"/>
      <c r="I30" s="8"/>
    </row>
    <row r="31" spans="2:21" ht="38.25">
      <c r="B31" s="647"/>
      <c r="C31" s="666" t="s">
        <v>124</v>
      </c>
      <c r="D31" s="663" t="s">
        <v>125</v>
      </c>
      <c r="E31" s="663" t="s">
        <v>147</v>
      </c>
      <c r="F31" s="664" t="s">
        <v>1100</v>
      </c>
      <c r="G31" s="647"/>
      <c r="I31" s="8"/>
    </row>
    <row r="32" spans="2:21" ht="16.5">
      <c r="B32" s="647"/>
      <c r="C32" s="665" t="s">
        <v>1096</v>
      </c>
      <c r="D32" s="661"/>
      <c r="E32" s="661"/>
      <c r="F32" s="662"/>
      <c r="G32" s="647"/>
      <c r="I32" s="8"/>
    </row>
    <row r="33" spans="2:9" ht="25.5">
      <c r="B33" s="647"/>
      <c r="C33" s="857" t="s">
        <v>230</v>
      </c>
      <c r="D33" s="663" t="s">
        <v>126</v>
      </c>
      <c r="E33" s="663" t="s">
        <v>143</v>
      </c>
      <c r="F33" s="664" t="s">
        <v>116</v>
      </c>
      <c r="G33" s="647"/>
      <c r="I33" s="8"/>
    </row>
    <row r="34" spans="2:9" ht="25.5">
      <c r="B34" s="647"/>
      <c r="C34" s="857"/>
      <c r="D34" s="663" t="s">
        <v>148</v>
      </c>
      <c r="E34" s="663" t="s">
        <v>149</v>
      </c>
      <c r="F34" s="664" t="s">
        <v>1097</v>
      </c>
      <c r="G34" s="647"/>
      <c r="I34" s="8"/>
    </row>
    <row r="35" spans="2:9" ht="51">
      <c r="B35" s="647"/>
      <c r="C35" s="857"/>
      <c r="D35" s="850" t="s">
        <v>127</v>
      </c>
      <c r="E35" s="850" t="s">
        <v>128</v>
      </c>
      <c r="F35" s="667" t="s">
        <v>1098</v>
      </c>
      <c r="G35" s="647"/>
      <c r="I35" s="8"/>
    </row>
    <row r="36" spans="2:9" ht="16.5">
      <c r="B36" s="647"/>
      <c r="C36" s="857"/>
      <c r="D36" s="851"/>
      <c r="E36" s="851"/>
      <c r="F36" s="668" t="s">
        <v>215</v>
      </c>
      <c r="G36" s="647"/>
      <c r="I36" s="8"/>
    </row>
    <row r="37" spans="2:9" ht="38.25">
      <c r="B37" s="647"/>
      <c r="C37" s="857"/>
      <c r="D37" s="663" t="s">
        <v>129</v>
      </c>
      <c r="E37" s="663" t="s">
        <v>130</v>
      </c>
      <c r="F37" s="664" t="s">
        <v>1099</v>
      </c>
      <c r="G37" s="647"/>
      <c r="I37" s="8"/>
    </row>
    <row r="38" spans="2:9" ht="25.5">
      <c r="B38" s="647"/>
      <c r="C38" s="857"/>
      <c r="D38" s="663" t="s">
        <v>1101</v>
      </c>
      <c r="E38" s="663" t="s">
        <v>130</v>
      </c>
      <c r="F38" s="664" t="s">
        <v>1102</v>
      </c>
      <c r="G38" s="647"/>
      <c r="I38" s="8"/>
    </row>
    <row r="39" spans="2:9" ht="16.5">
      <c r="B39" s="647"/>
      <c r="C39" s="660" t="s">
        <v>5</v>
      </c>
      <c r="D39" s="661"/>
      <c r="E39" s="661"/>
      <c r="F39" s="662"/>
      <c r="G39" s="647"/>
      <c r="I39" s="8"/>
    </row>
    <row r="40" spans="2:9" ht="25.5">
      <c r="B40" s="647"/>
      <c r="C40" s="858" t="s">
        <v>231</v>
      </c>
      <c r="D40" s="852" t="s">
        <v>1103</v>
      </c>
      <c r="E40" s="852" t="s">
        <v>128</v>
      </c>
      <c r="F40" s="669" t="s">
        <v>1104</v>
      </c>
      <c r="G40" s="647"/>
      <c r="I40" s="8"/>
    </row>
    <row r="41" spans="2:9" ht="16.5">
      <c r="B41" s="647"/>
      <c r="C41" s="858"/>
      <c r="D41" s="853"/>
      <c r="E41" s="853"/>
      <c r="F41" s="668" t="s">
        <v>216</v>
      </c>
      <c r="G41" s="647"/>
      <c r="I41" s="8"/>
    </row>
    <row r="42" spans="2:9" ht="38.25">
      <c r="B42" s="647"/>
      <c r="C42" s="858"/>
      <c r="D42" s="670" t="s">
        <v>1105</v>
      </c>
      <c r="E42" s="670" t="s">
        <v>131</v>
      </c>
      <c r="F42" s="671" t="s">
        <v>1106</v>
      </c>
      <c r="G42" s="647"/>
      <c r="I42" s="8"/>
    </row>
    <row r="43" spans="2:9" ht="16.5">
      <c r="B43" s="647"/>
      <c r="C43" s="660" t="s">
        <v>9</v>
      </c>
      <c r="D43" s="661"/>
      <c r="E43" s="661"/>
      <c r="F43" s="662"/>
      <c r="G43" s="647"/>
      <c r="I43" s="8"/>
    </row>
    <row r="44" spans="2:9" ht="25.5">
      <c r="B44" s="647"/>
      <c r="C44" s="859" t="s">
        <v>232</v>
      </c>
      <c r="D44" s="670" t="s">
        <v>186</v>
      </c>
      <c r="E44" s="670" t="s">
        <v>115</v>
      </c>
      <c r="F44" s="671" t="s">
        <v>1107</v>
      </c>
      <c r="G44" s="647"/>
      <c r="I44" s="8"/>
    </row>
    <row r="45" spans="2:9" ht="25.5">
      <c r="B45" s="647"/>
      <c r="C45" s="860"/>
      <c r="D45" s="670" t="s">
        <v>187</v>
      </c>
      <c r="E45" s="670" t="s">
        <v>115</v>
      </c>
      <c r="F45" s="671" t="s">
        <v>1108</v>
      </c>
      <c r="G45" s="647"/>
      <c r="I45" s="9"/>
    </row>
    <row r="46" spans="2:9" ht="16.5">
      <c r="B46" s="647"/>
      <c r="C46" s="660" t="s">
        <v>7</v>
      </c>
      <c r="D46" s="661"/>
      <c r="E46" s="661"/>
      <c r="F46" s="662"/>
      <c r="G46" s="647"/>
      <c r="I46" s="8"/>
    </row>
    <row r="47" spans="2:9" ht="25.5">
      <c r="B47" s="647"/>
      <c r="C47" s="672" t="s">
        <v>1109</v>
      </c>
      <c r="D47" s="670" t="s">
        <v>150</v>
      </c>
      <c r="E47" s="670" t="s">
        <v>143</v>
      </c>
      <c r="F47" s="671" t="s">
        <v>1110</v>
      </c>
      <c r="G47" s="647"/>
      <c r="I47" s="8"/>
    </row>
    <row r="48" spans="2:9" ht="16.5">
      <c r="B48" s="647"/>
      <c r="C48" s="660" t="s">
        <v>10</v>
      </c>
      <c r="D48" s="661"/>
      <c r="E48" s="661"/>
      <c r="F48" s="662"/>
      <c r="G48" s="647"/>
      <c r="I48" s="8"/>
    </row>
    <row r="49" spans="2:12" ht="16.5">
      <c r="B49" s="647"/>
      <c r="C49" s="858" t="s">
        <v>233</v>
      </c>
      <c r="D49" s="670" t="s">
        <v>132</v>
      </c>
      <c r="E49" s="670" t="s">
        <v>143</v>
      </c>
      <c r="F49" s="671" t="s">
        <v>116</v>
      </c>
      <c r="G49" s="647"/>
      <c r="I49" s="8"/>
    </row>
    <row r="50" spans="2:12" ht="25.5">
      <c r="B50" s="647"/>
      <c r="C50" s="858"/>
      <c r="D50" s="670" t="s">
        <v>1111</v>
      </c>
      <c r="E50" s="670" t="s">
        <v>133</v>
      </c>
      <c r="F50" s="671" t="s">
        <v>1112</v>
      </c>
      <c r="G50" s="647"/>
      <c r="I50" s="8"/>
    </row>
    <row r="51" spans="2:12" ht="16.5">
      <c r="B51" s="647"/>
      <c r="C51" s="660" t="s">
        <v>134</v>
      </c>
      <c r="D51" s="661"/>
      <c r="E51" s="661"/>
      <c r="F51" s="662"/>
      <c r="G51" s="647"/>
      <c r="I51" s="8"/>
    </row>
    <row r="52" spans="2:12" ht="25.5">
      <c r="B52" s="647"/>
      <c r="C52" s="672" t="s">
        <v>1011</v>
      </c>
      <c r="D52" s="670" t="s">
        <v>135</v>
      </c>
      <c r="E52" s="670" t="s">
        <v>136</v>
      </c>
      <c r="F52" s="671" t="s">
        <v>137</v>
      </c>
      <c r="G52" s="647"/>
      <c r="I52" s="8"/>
    </row>
    <row r="53" spans="2:12" ht="16.5">
      <c r="B53" s="647"/>
      <c r="C53" s="858" t="s">
        <v>234</v>
      </c>
      <c r="D53" s="670" t="s">
        <v>138</v>
      </c>
      <c r="E53" s="670" t="s">
        <v>143</v>
      </c>
      <c r="F53" s="671" t="s">
        <v>1113</v>
      </c>
      <c r="G53" s="647"/>
      <c r="I53" s="8"/>
    </row>
    <row r="54" spans="2:12" ht="25.5">
      <c r="B54" s="647"/>
      <c r="C54" s="858"/>
      <c r="D54" s="670" t="s">
        <v>139</v>
      </c>
      <c r="E54" s="670" t="s">
        <v>143</v>
      </c>
      <c r="F54" s="671" t="s">
        <v>116</v>
      </c>
      <c r="G54" s="647"/>
      <c r="I54" s="8"/>
    </row>
    <row r="55" spans="2:12" ht="26.25" thickBot="1">
      <c r="B55" s="647"/>
      <c r="C55" s="869"/>
      <c r="D55" s="673" t="s">
        <v>140</v>
      </c>
      <c r="E55" s="673" t="s">
        <v>133</v>
      </c>
      <c r="F55" s="674" t="s">
        <v>141</v>
      </c>
      <c r="G55" s="647"/>
      <c r="I55" s="8"/>
    </row>
    <row r="56" spans="2:12" ht="18" thickBot="1">
      <c r="B56" s="675"/>
      <c r="C56" s="675"/>
      <c r="D56" s="675"/>
      <c r="E56" s="675"/>
      <c r="F56" s="675"/>
      <c r="G56" s="675"/>
      <c r="I56" s="9"/>
    </row>
    <row r="57" spans="2:12" ht="24" thickBot="1">
      <c r="B57" s="647"/>
      <c r="C57" s="854" t="s">
        <v>1084</v>
      </c>
      <c r="D57" s="855"/>
      <c r="E57" s="855"/>
      <c r="F57" s="856"/>
      <c r="G57" s="647"/>
      <c r="I57" s="8"/>
    </row>
    <row r="58" spans="2:12" s="5" customFormat="1" ht="18.75">
      <c r="B58" s="676"/>
      <c r="C58" s="657" t="s">
        <v>111</v>
      </c>
      <c r="D58" s="658" t="s">
        <v>112</v>
      </c>
      <c r="E58" s="658" t="s">
        <v>1085</v>
      </c>
      <c r="F58" s="659" t="s">
        <v>142</v>
      </c>
      <c r="G58" s="676"/>
      <c r="I58" s="8"/>
    </row>
    <row r="59" spans="2:12" s="5" customFormat="1" ht="16.5">
      <c r="B59" s="676"/>
      <c r="C59" s="660" t="s">
        <v>29</v>
      </c>
      <c r="D59" s="661"/>
      <c r="E59" s="661"/>
      <c r="F59" s="662"/>
      <c r="G59" s="676"/>
      <c r="I59" s="8"/>
    </row>
    <row r="60" spans="2:12" s="5" customFormat="1" ht="25.5">
      <c r="B60" s="676"/>
      <c r="C60" s="672" t="s">
        <v>235</v>
      </c>
      <c r="D60" s="677" t="s">
        <v>151</v>
      </c>
      <c r="E60" s="677" t="s">
        <v>152</v>
      </c>
      <c r="F60" s="678" t="s">
        <v>1114</v>
      </c>
      <c r="G60" s="676"/>
      <c r="I60" s="8"/>
    </row>
    <row r="61" spans="2:12" s="5" customFormat="1" ht="25.5">
      <c r="B61" s="676"/>
      <c r="C61" s="672" t="s">
        <v>236</v>
      </c>
      <c r="D61" s="677" t="s">
        <v>153</v>
      </c>
      <c r="E61" s="677" t="s">
        <v>154</v>
      </c>
      <c r="F61" s="678" t="s">
        <v>1115</v>
      </c>
      <c r="G61" s="676"/>
      <c r="I61" s="8"/>
      <c r="K61" s="8"/>
      <c r="L61" s="8"/>
    </row>
    <row r="62" spans="2:12" s="5" customFormat="1" ht="15.75">
      <c r="B62" s="676"/>
      <c r="C62" s="665" t="s">
        <v>27</v>
      </c>
      <c r="D62" s="661"/>
      <c r="E62" s="661"/>
      <c r="F62" s="662"/>
      <c r="G62" s="676"/>
    </row>
    <row r="63" spans="2:12" s="5" customFormat="1" ht="25.5">
      <c r="B63" s="676"/>
      <c r="C63" s="858" t="s">
        <v>1176</v>
      </c>
      <c r="D63" s="677" t="s">
        <v>1116</v>
      </c>
      <c r="E63" s="677" t="s">
        <v>143</v>
      </c>
      <c r="F63" s="678" t="s">
        <v>155</v>
      </c>
      <c r="G63" s="676"/>
    </row>
    <row r="64" spans="2:12" s="5" customFormat="1" ht="38.25">
      <c r="B64" s="676"/>
      <c r="C64" s="858"/>
      <c r="D64" s="677" t="s">
        <v>1177</v>
      </c>
      <c r="E64" s="677" t="s">
        <v>1117</v>
      </c>
      <c r="F64" s="678" t="s">
        <v>1118</v>
      </c>
      <c r="G64" s="676"/>
    </row>
    <row r="65" spans="2:7" s="5" customFormat="1" ht="15.75">
      <c r="B65" s="676"/>
      <c r="C65" s="665" t="s">
        <v>30</v>
      </c>
      <c r="D65" s="661"/>
      <c r="E65" s="661"/>
      <c r="F65" s="662"/>
      <c r="G65" s="676"/>
    </row>
    <row r="66" spans="2:7" s="5" customFormat="1" ht="25.5">
      <c r="B66" s="676"/>
      <c r="C66" s="672" t="s">
        <v>1028</v>
      </c>
      <c r="D66" s="877" t="s">
        <v>1178</v>
      </c>
      <c r="E66" s="878"/>
      <c r="F66" s="879"/>
      <c r="G66" s="676"/>
    </row>
    <row r="67" spans="2:7" s="5" customFormat="1" ht="25.5">
      <c r="B67" s="676"/>
      <c r="C67" s="672" t="s">
        <v>1119</v>
      </c>
      <c r="D67" s="880"/>
      <c r="E67" s="881"/>
      <c r="F67" s="882"/>
      <c r="G67" s="676"/>
    </row>
    <row r="68" spans="2:7" s="5" customFormat="1" ht="15.75">
      <c r="B68" s="676"/>
      <c r="C68" s="665" t="s">
        <v>31</v>
      </c>
      <c r="D68" s="661"/>
      <c r="E68" s="661"/>
      <c r="F68" s="662"/>
      <c r="G68" s="676"/>
    </row>
    <row r="69" spans="2:7" s="5" customFormat="1" ht="25.5">
      <c r="B69" s="676"/>
      <c r="C69" s="672" t="s">
        <v>237</v>
      </c>
      <c r="D69" s="677" t="s">
        <v>156</v>
      </c>
      <c r="E69" s="677" t="s">
        <v>1120</v>
      </c>
      <c r="F69" s="678" t="s">
        <v>1121</v>
      </c>
      <c r="G69" s="676"/>
    </row>
    <row r="70" spans="2:7" s="5" customFormat="1" ht="15.75">
      <c r="B70" s="676"/>
      <c r="C70" s="665" t="s">
        <v>1122</v>
      </c>
      <c r="D70" s="661"/>
      <c r="E70" s="661"/>
      <c r="F70" s="662"/>
      <c r="G70" s="676"/>
    </row>
    <row r="71" spans="2:7" s="5" customFormat="1" ht="25.5">
      <c r="B71" s="676"/>
      <c r="C71" s="859" t="s">
        <v>1123</v>
      </c>
      <c r="D71" s="677" t="s">
        <v>1124</v>
      </c>
      <c r="E71" s="677" t="s">
        <v>143</v>
      </c>
      <c r="F71" s="678" t="s">
        <v>1125</v>
      </c>
      <c r="G71" s="676"/>
    </row>
    <row r="72" spans="2:7" s="5" customFormat="1" ht="25.5">
      <c r="B72" s="676"/>
      <c r="C72" s="860"/>
      <c r="D72" s="677" t="s">
        <v>157</v>
      </c>
      <c r="E72" s="677" t="s">
        <v>1120</v>
      </c>
      <c r="F72" s="678" t="s">
        <v>1126</v>
      </c>
      <c r="G72" s="676"/>
    </row>
    <row r="73" spans="2:7" s="5" customFormat="1" ht="15.75">
      <c r="B73" s="676"/>
      <c r="C73" s="665" t="s">
        <v>41</v>
      </c>
      <c r="D73" s="661"/>
      <c r="E73" s="661"/>
      <c r="F73" s="662"/>
      <c r="G73" s="676"/>
    </row>
    <row r="74" spans="2:7" s="5" customFormat="1" ht="38.25">
      <c r="B74" s="676"/>
      <c r="C74" s="672" t="s">
        <v>238</v>
      </c>
      <c r="D74" s="677" t="s">
        <v>1127</v>
      </c>
      <c r="E74" s="677" t="s">
        <v>143</v>
      </c>
      <c r="F74" s="678" t="s">
        <v>1179</v>
      </c>
      <c r="G74" s="676"/>
    </row>
    <row r="75" spans="2:7" s="5" customFormat="1" ht="15.75">
      <c r="B75" s="676"/>
      <c r="C75" s="665" t="s">
        <v>32</v>
      </c>
      <c r="D75" s="661"/>
      <c r="E75" s="661"/>
      <c r="F75" s="662"/>
      <c r="G75" s="676"/>
    </row>
    <row r="76" spans="2:7" s="5" customFormat="1" ht="25.5">
      <c r="B76" s="676"/>
      <c r="C76" s="679" t="s">
        <v>232</v>
      </c>
      <c r="D76" s="883" t="s">
        <v>1128</v>
      </c>
      <c r="E76" s="884"/>
      <c r="F76" s="885"/>
      <c r="G76" s="676"/>
    </row>
    <row r="77" spans="2:7" s="5" customFormat="1" ht="15.75">
      <c r="B77" s="676"/>
      <c r="C77" s="665" t="s">
        <v>1129</v>
      </c>
      <c r="D77" s="661"/>
      <c r="E77" s="661"/>
      <c r="F77" s="662"/>
      <c r="G77" s="676"/>
    </row>
    <row r="78" spans="2:7" s="5" customFormat="1" ht="25.5">
      <c r="B78" s="676"/>
      <c r="C78" s="672" t="s">
        <v>1130</v>
      </c>
      <c r="D78" s="886" t="s">
        <v>1131</v>
      </c>
      <c r="E78" s="887"/>
      <c r="F78" s="888"/>
      <c r="G78" s="676"/>
    </row>
    <row r="79" spans="2:7" s="5" customFormat="1" ht="15.75">
      <c r="B79" s="676"/>
      <c r="C79" s="665" t="s">
        <v>1132</v>
      </c>
      <c r="D79" s="661"/>
      <c r="E79" s="661"/>
      <c r="F79" s="662"/>
      <c r="G79" s="676"/>
    </row>
    <row r="80" spans="2:7" s="5" customFormat="1" ht="13.5" thickBot="1">
      <c r="B80" s="676"/>
      <c r="C80" s="680" t="s">
        <v>1133</v>
      </c>
      <c r="D80" s="681" t="s">
        <v>135</v>
      </c>
      <c r="E80" s="681" t="s">
        <v>243</v>
      </c>
      <c r="F80" s="682" t="s">
        <v>1134</v>
      </c>
      <c r="G80" s="676"/>
    </row>
    <row r="81" spans="2:7" ht="15.75" thickBot="1">
      <c r="B81" s="676"/>
      <c r="C81" s="647"/>
      <c r="D81" s="647"/>
      <c r="E81" s="647"/>
      <c r="F81" s="647"/>
      <c r="G81" s="676"/>
    </row>
    <row r="82" spans="2:7" ht="24" thickBot="1">
      <c r="B82" s="676"/>
      <c r="C82" s="854" t="s">
        <v>159</v>
      </c>
      <c r="D82" s="855"/>
      <c r="E82" s="855"/>
      <c r="F82" s="856"/>
      <c r="G82" s="676"/>
    </row>
    <row r="83" spans="2:7" ht="18.75">
      <c r="B83" s="676"/>
      <c r="C83" s="657" t="s">
        <v>111</v>
      </c>
      <c r="D83" s="658" t="s">
        <v>112</v>
      </c>
      <c r="E83" s="658" t="s">
        <v>113</v>
      </c>
      <c r="F83" s="659" t="s">
        <v>142</v>
      </c>
      <c r="G83" s="676"/>
    </row>
    <row r="84" spans="2:7" ht="15.75">
      <c r="B84" s="676"/>
      <c r="C84" s="665" t="s">
        <v>984</v>
      </c>
      <c r="D84" s="661"/>
      <c r="E84" s="661"/>
      <c r="F84" s="662"/>
      <c r="G84" s="676"/>
    </row>
    <row r="85" spans="2:7" ht="38.25">
      <c r="B85" s="676"/>
      <c r="C85" s="846" t="s">
        <v>1135</v>
      </c>
      <c r="D85" s="848" t="s">
        <v>1180</v>
      </c>
      <c r="E85" s="848" t="s">
        <v>173</v>
      </c>
      <c r="F85" s="664" t="s">
        <v>1136</v>
      </c>
      <c r="G85" s="676"/>
    </row>
    <row r="86" spans="2:7" ht="51">
      <c r="B86" s="676"/>
      <c r="C86" s="847"/>
      <c r="D86" s="849"/>
      <c r="E86" s="849"/>
      <c r="F86" s="664" t="s">
        <v>1137</v>
      </c>
      <c r="G86" s="676"/>
    </row>
    <row r="87" spans="2:7" ht="15.75">
      <c r="B87" s="676"/>
      <c r="C87" s="665" t="s">
        <v>174</v>
      </c>
      <c r="D87" s="661"/>
      <c r="E87" s="661"/>
      <c r="F87" s="662"/>
      <c r="G87" s="676"/>
    </row>
    <row r="88" spans="2:7" ht="38.25">
      <c r="B88" s="676"/>
      <c r="C88" s="846" t="s">
        <v>239</v>
      </c>
      <c r="D88" s="848" t="s">
        <v>175</v>
      </c>
      <c r="E88" s="848" t="s">
        <v>173</v>
      </c>
      <c r="F88" s="664" t="s">
        <v>1138</v>
      </c>
      <c r="G88" s="676"/>
    </row>
    <row r="89" spans="2:7" ht="38.25">
      <c r="B89" s="676"/>
      <c r="C89" s="873"/>
      <c r="D89" s="890"/>
      <c r="E89" s="890"/>
      <c r="F89" s="664" t="s">
        <v>1139</v>
      </c>
      <c r="G89" s="676"/>
    </row>
    <row r="90" spans="2:7" ht="89.25">
      <c r="B90" s="676"/>
      <c r="C90" s="847"/>
      <c r="D90" s="849"/>
      <c r="E90" s="849"/>
      <c r="F90" s="664" t="s">
        <v>1181</v>
      </c>
      <c r="G90" s="676"/>
    </row>
    <row r="91" spans="2:7" ht="15.75">
      <c r="B91" s="676"/>
      <c r="C91" s="665" t="s">
        <v>176</v>
      </c>
      <c r="D91" s="661"/>
      <c r="E91" s="661"/>
      <c r="F91" s="662"/>
      <c r="G91" s="676"/>
    </row>
    <row r="92" spans="2:7" ht="25.5">
      <c r="B92" s="676"/>
      <c r="C92" s="666" t="s">
        <v>239</v>
      </c>
      <c r="D92" s="683" t="s">
        <v>1141</v>
      </c>
      <c r="E92" s="683" t="s">
        <v>173</v>
      </c>
      <c r="F92" s="664" t="s">
        <v>1140</v>
      </c>
      <c r="G92" s="676"/>
    </row>
    <row r="93" spans="2:7" ht="15.75">
      <c r="B93" s="676"/>
      <c r="C93" s="665" t="s">
        <v>177</v>
      </c>
      <c r="D93" s="661"/>
      <c r="E93" s="661"/>
      <c r="F93" s="662"/>
      <c r="G93" s="676"/>
    </row>
    <row r="94" spans="2:7" ht="51">
      <c r="B94" s="676"/>
      <c r="C94" s="666" t="s">
        <v>239</v>
      </c>
      <c r="D94" s="683" t="s">
        <v>1142</v>
      </c>
      <c r="E94" s="683" t="s">
        <v>178</v>
      </c>
      <c r="F94" s="664" t="s">
        <v>1143</v>
      </c>
      <c r="G94" s="676"/>
    </row>
    <row r="95" spans="2:7" ht="15.75">
      <c r="B95" s="676"/>
      <c r="C95" s="665" t="s">
        <v>179</v>
      </c>
      <c r="D95" s="661"/>
      <c r="E95" s="661"/>
      <c r="F95" s="662"/>
      <c r="G95" s="676"/>
    </row>
    <row r="96" spans="2:7" ht="38.25">
      <c r="B96" s="676"/>
      <c r="C96" s="859" t="s">
        <v>239</v>
      </c>
      <c r="D96" s="684" t="s">
        <v>180</v>
      </c>
      <c r="E96" s="684" t="s">
        <v>181</v>
      </c>
      <c r="F96" s="671" t="s">
        <v>1144</v>
      </c>
      <c r="G96" s="676"/>
    </row>
    <row r="97" spans="2:7" ht="25.5">
      <c r="B97" s="676"/>
      <c r="C97" s="860"/>
      <c r="D97" s="684" t="s">
        <v>182</v>
      </c>
      <c r="E97" s="684" t="s">
        <v>143</v>
      </c>
      <c r="F97" s="671" t="s">
        <v>1145</v>
      </c>
      <c r="G97" s="676"/>
    </row>
    <row r="98" spans="2:7" ht="15.75">
      <c r="B98" s="676"/>
      <c r="C98" s="665" t="s">
        <v>9</v>
      </c>
      <c r="D98" s="661"/>
      <c r="E98" s="661"/>
      <c r="F98" s="662"/>
      <c r="G98" s="676"/>
    </row>
    <row r="99" spans="2:7">
      <c r="B99" s="676"/>
      <c r="C99" s="685" t="s">
        <v>1083</v>
      </c>
      <c r="D99" s="686"/>
      <c r="E99" s="686"/>
      <c r="F99" s="687"/>
      <c r="G99" s="676"/>
    </row>
    <row r="100" spans="2:7" ht="15.75">
      <c r="B100" s="676"/>
      <c r="C100" s="665" t="s">
        <v>1146</v>
      </c>
      <c r="D100" s="661"/>
      <c r="E100" s="661"/>
      <c r="F100" s="662"/>
      <c r="G100" s="676"/>
    </row>
    <row r="101" spans="2:7">
      <c r="B101" s="676"/>
      <c r="C101" s="685" t="s">
        <v>1082</v>
      </c>
      <c r="D101" s="686"/>
      <c r="E101" s="686"/>
      <c r="F101" s="687"/>
      <c r="G101" s="676"/>
    </row>
    <row r="102" spans="2:7" ht="15.75">
      <c r="B102" s="676"/>
      <c r="C102" s="665" t="s">
        <v>1147</v>
      </c>
      <c r="D102" s="661"/>
      <c r="E102" s="661"/>
      <c r="F102" s="662"/>
      <c r="G102" s="676"/>
    </row>
    <row r="103" spans="2:7">
      <c r="B103" s="676"/>
      <c r="C103" s="672" t="s">
        <v>1149</v>
      </c>
      <c r="D103" s="670" t="s">
        <v>1148</v>
      </c>
      <c r="E103" s="684" t="s">
        <v>243</v>
      </c>
      <c r="F103" s="671" t="s">
        <v>1150</v>
      </c>
      <c r="G103" s="676"/>
    </row>
    <row r="104" spans="2:7" ht="89.25">
      <c r="B104" s="676"/>
      <c r="C104" s="858" t="s">
        <v>1151</v>
      </c>
      <c r="D104" s="670" t="s">
        <v>183</v>
      </c>
      <c r="E104" s="670" t="s">
        <v>143</v>
      </c>
      <c r="F104" s="671" t="s">
        <v>1182</v>
      </c>
      <c r="G104" s="676"/>
    </row>
    <row r="105" spans="2:7" ht="51.75" thickBot="1">
      <c r="B105" s="676"/>
      <c r="C105" s="869"/>
      <c r="D105" s="673" t="s">
        <v>1152</v>
      </c>
      <c r="E105" s="673" t="s">
        <v>115</v>
      </c>
      <c r="F105" s="674" t="s">
        <v>1153</v>
      </c>
      <c r="G105" s="676"/>
    </row>
    <row r="106" spans="2:7">
      <c r="B106" s="676"/>
      <c r="C106" s="647"/>
      <c r="D106" s="647"/>
      <c r="E106" s="647"/>
      <c r="F106" s="647"/>
      <c r="G106" s="676"/>
    </row>
    <row r="107" spans="2:7">
      <c r="B107" s="676"/>
      <c r="C107" s="647"/>
      <c r="D107" s="647"/>
      <c r="E107" s="647"/>
      <c r="F107" s="647"/>
      <c r="G107" s="676"/>
    </row>
    <row r="108" spans="2:7" ht="23.25">
      <c r="B108" s="676"/>
      <c r="C108" s="789" t="s">
        <v>160</v>
      </c>
      <c r="D108" s="789"/>
      <c r="E108" s="789"/>
      <c r="F108" s="789"/>
      <c r="G108" s="676"/>
    </row>
    <row r="109" spans="2:7">
      <c r="B109" s="647"/>
      <c r="C109" s="889" t="s">
        <v>169</v>
      </c>
      <c r="D109" s="889"/>
      <c r="E109" s="889"/>
      <c r="F109" s="889"/>
      <c r="G109" s="676"/>
    </row>
    <row r="110" spans="2:7">
      <c r="B110" s="647"/>
      <c r="C110" s="889"/>
      <c r="D110" s="889"/>
      <c r="E110" s="889"/>
      <c r="F110" s="889"/>
      <c r="G110" s="676"/>
    </row>
    <row r="111" spans="2:7" ht="15.75" thickBot="1">
      <c r="B111" s="647"/>
      <c r="C111" s="647"/>
      <c r="D111" s="647"/>
      <c r="E111" s="647"/>
      <c r="F111" s="647"/>
      <c r="G111" s="676"/>
    </row>
    <row r="112" spans="2:7" ht="19.5" thickBot="1">
      <c r="B112" s="647"/>
      <c r="C112" s="688" t="s">
        <v>161</v>
      </c>
      <c r="D112" s="689" t="s">
        <v>66</v>
      </c>
      <c r="E112" s="690" t="s">
        <v>67</v>
      </c>
      <c r="F112" s="691" t="s">
        <v>68</v>
      </c>
      <c r="G112" s="676"/>
    </row>
    <row r="113" spans="2:7" ht="15.75">
      <c r="B113" s="647"/>
      <c r="C113" s="692" t="s">
        <v>47</v>
      </c>
      <c r="D113" s="693"/>
      <c r="E113" s="693"/>
      <c r="F113" s="694"/>
      <c r="G113" s="676"/>
    </row>
    <row r="114" spans="2:7" ht="30">
      <c r="B114" s="647"/>
      <c r="C114" s="695" t="s">
        <v>0</v>
      </c>
      <c r="D114" s="696" t="s">
        <v>69</v>
      </c>
      <c r="E114" s="696" t="s">
        <v>70</v>
      </c>
      <c r="F114" s="697" t="s">
        <v>71</v>
      </c>
      <c r="G114" s="676"/>
    </row>
    <row r="115" spans="2:7">
      <c r="B115" s="647"/>
      <c r="C115" s="695" t="s">
        <v>2</v>
      </c>
      <c r="D115" s="696" t="s">
        <v>69</v>
      </c>
      <c r="E115" s="696" t="s">
        <v>70</v>
      </c>
      <c r="F115" s="697" t="s">
        <v>71</v>
      </c>
      <c r="G115" s="676"/>
    </row>
    <row r="116" spans="2:7" ht="30">
      <c r="B116" s="647"/>
      <c r="C116" s="695" t="s">
        <v>8</v>
      </c>
      <c r="D116" s="698" t="s">
        <v>72</v>
      </c>
      <c r="E116" s="696" t="s">
        <v>73</v>
      </c>
      <c r="F116" s="697" t="s">
        <v>74</v>
      </c>
      <c r="G116" s="676"/>
    </row>
    <row r="117" spans="2:7">
      <c r="B117" s="647"/>
      <c r="C117" s="695" t="s">
        <v>4</v>
      </c>
      <c r="D117" s="696" t="s">
        <v>59</v>
      </c>
      <c r="E117" s="696" t="s">
        <v>60</v>
      </c>
      <c r="F117" s="697" t="s">
        <v>61</v>
      </c>
      <c r="G117" s="676"/>
    </row>
    <row r="118" spans="2:7" ht="30">
      <c r="B118" s="647"/>
      <c r="C118" s="695" t="s">
        <v>1154</v>
      </c>
      <c r="D118" s="696" t="s">
        <v>62</v>
      </c>
      <c r="E118" s="699" t="s">
        <v>64</v>
      </c>
      <c r="F118" s="697" t="s">
        <v>63</v>
      </c>
      <c r="G118" s="676"/>
    </row>
    <row r="119" spans="2:7">
      <c r="B119" s="647"/>
      <c r="C119" s="695" t="s">
        <v>6</v>
      </c>
      <c r="D119" s="696" t="s">
        <v>75</v>
      </c>
      <c r="E119" s="696" t="s">
        <v>76</v>
      </c>
      <c r="F119" s="697" t="s">
        <v>65</v>
      </c>
      <c r="G119" s="676"/>
    </row>
    <row r="120" spans="2:7" ht="30">
      <c r="B120" s="647"/>
      <c r="C120" s="695" t="s">
        <v>9</v>
      </c>
      <c r="D120" s="696" t="s">
        <v>56</v>
      </c>
      <c r="E120" s="696" t="s">
        <v>57</v>
      </c>
      <c r="F120" s="697" t="s">
        <v>58</v>
      </c>
      <c r="G120" s="676"/>
    </row>
    <row r="121" spans="2:7">
      <c r="B121" s="647"/>
      <c r="C121" s="695" t="s">
        <v>7</v>
      </c>
      <c r="D121" s="696" t="s">
        <v>56</v>
      </c>
      <c r="E121" s="696" t="s">
        <v>57</v>
      </c>
      <c r="F121" s="697" t="s">
        <v>58</v>
      </c>
      <c r="G121" s="676"/>
    </row>
    <row r="122" spans="2:7" ht="30">
      <c r="B122" s="647"/>
      <c r="C122" s="695" t="s">
        <v>10</v>
      </c>
      <c r="D122" s="696" t="s">
        <v>56</v>
      </c>
      <c r="E122" s="696" t="s">
        <v>77</v>
      </c>
      <c r="F122" s="697" t="s">
        <v>71</v>
      </c>
      <c r="G122" s="676"/>
    </row>
    <row r="123" spans="2:7" ht="30.75" thickBot="1">
      <c r="B123" s="647"/>
      <c r="C123" s="700" t="s">
        <v>134</v>
      </c>
      <c r="D123" s="701" t="s">
        <v>56</v>
      </c>
      <c r="E123" s="701" t="s">
        <v>77</v>
      </c>
      <c r="F123" s="702" t="s">
        <v>71</v>
      </c>
      <c r="G123" s="676"/>
    </row>
    <row r="124" spans="2:7" ht="15.75">
      <c r="B124" s="647"/>
      <c r="C124" s="692" t="s">
        <v>993</v>
      </c>
      <c r="D124" s="693"/>
      <c r="E124" s="693"/>
      <c r="F124" s="694"/>
      <c r="G124" s="676"/>
    </row>
    <row r="125" spans="2:7" ht="15.75">
      <c r="B125" s="647"/>
      <c r="C125" s="703" t="s">
        <v>1155</v>
      </c>
      <c r="D125" s="696" t="s">
        <v>69</v>
      </c>
      <c r="E125" s="696" t="s">
        <v>70</v>
      </c>
      <c r="F125" s="697" t="s">
        <v>71</v>
      </c>
      <c r="G125" s="647"/>
    </row>
    <row r="126" spans="2:7" ht="15.75">
      <c r="B126" s="647"/>
      <c r="C126" s="703" t="s">
        <v>27</v>
      </c>
      <c r="D126" s="698">
        <v>0</v>
      </c>
      <c r="E126" s="696" t="s">
        <v>56</v>
      </c>
      <c r="F126" s="697" t="s">
        <v>78</v>
      </c>
      <c r="G126" s="647"/>
    </row>
    <row r="127" spans="2:7" ht="31.5">
      <c r="B127" s="647"/>
      <c r="C127" s="703" t="s">
        <v>30</v>
      </c>
      <c r="D127" s="698">
        <v>0</v>
      </c>
      <c r="E127" s="696" t="s">
        <v>56</v>
      </c>
      <c r="F127" s="697" t="s">
        <v>78</v>
      </c>
      <c r="G127" s="647"/>
    </row>
    <row r="128" spans="2:7" ht="31.5">
      <c r="B128" s="647"/>
      <c r="C128" s="703" t="s">
        <v>31</v>
      </c>
      <c r="D128" s="698">
        <v>0</v>
      </c>
      <c r="E128" s="696" t="s">
        <v>56</v>
      </c>
      <c r="F128" s="697" t="s">
        <v>78</v>
      </c>
      <c r="G128" s="647"/>
    </row>
    <row r="129" spans="2:7" ht="31.5">
      <c r="B129" s="647"/>
      <c r="C129" s="703" t="s">
        <v>1122</v>
      </c>
      <c r="D129" s="698">
        <v>0</v>
      </c>
      <c r="E129" s="696" t="s">
        <v>56</v>
      </c>
      <c r="F129" s="697" t="s">
        <v>78</v>
      </c>
      <c r="G129" s="647"/>
    </row>
    <row r="130" spans="2:7" ht="15.75">
      <c r="B130" s="647"/>
      <c r="C130" s="703" t="s">
        <v>41</v>
      </c>
      <c r="D130" s="696" t="s">
        <v>56</v>
      </c>
      <c r="E130" s="696" t="s">
        <v>57</v>
      </c>
      <c r="F130" s="697" t="s">
        <v>58</v>
      </c>
      <c r="G130" s="647"/>
    </row>
    <row r="131" spans="2:7" ht="31.5">
      <c r="B131" s="647"/>
      <c r="C131" s="703" t="s">
        <v>32</v>
      </c>
      <c r="D131" s="696" t="s">
        <v>56</v>
      </c>
      <c r="E131" s="696" t="s">
        <v>57</v>
      </c>
      <c r="F131" s="697" t="s">
        <v>58</v>
      </c>
      <c r="G131" s="647"/>
    </row>
    <row r="132" spans="2:7" ht="31.5">
      <c r="B132" s="647"/>
      <c r="C132" s="703" t="s">
        <v>1129</v>
      </c>
      <c r="D132" s="696" t="s">
        <v>56</v>
      </c>
      <c r="E132" s="696" t="s">
        <v>77</v>
      </c>
      <c r="F132" s="697" t="s">
        <v>71</v>
      </c>
      <c r="G132" s="647"/>
    </row>
    <row r="133" spans="2:7" ht="32.25" thickBot="1">
      <c r="B133" s="647"/>
      <c r="C133" s="704" t="s">
        <v>1156</v>
      </c>
      <c r="D133" s="701" t="s">
        <v>56</v>
      </c>
      <c r="E133" s="701" t="s">
        <v>77</v>
      </c>
      <c r="F133" s="702" t="s">
        <v>71</v>
      </c>
      <c r="G133" s="647"/>
    </row>
    <row r="134" spans="2:7" ht="15.75">
      <c r="B134" s="647"/>
      <c r="C134" s="692" t="s">
        <v>162</v>
      </c>
      <c r="D134" s="693"/>
      <c r="E134" s="693"/>
      <c r="F134" s="694"/>
      <c r="G134" s="647"/>
    </row>
    <row r="135" spans="2:7" ht="31.5">
      <c r="B135" s="647"/>
      <c r="C135" s="703" t="s">
        <v>103</v>
      </c>
      <c r="D135" s="696" t="s">
        <v>69</v>
      </c>
      <c r="E135" s="696" t="s">
        <v>70</v>
      </c>
      <c r="F135" s="697" t="s">
        <v>71</v>
      </c>
      <c r="G135" s="647"/>
    </row>
    <row r="136" spans="2:7" ht="31.5">
      <c r="B136" s="647"/>
      <c r="C136" s="703" t="s">
        <v>100</v>
      </c>
      <c r="D136" s="696" t="s">
        <v>69</v>
      </c>
      <c r="E136" s="696" t="s">
        <v>70</v>
      </c>
      <c r="F136" s="697" t="s">
        <v>71</v>
      </c>
      <c r="G136" s="647"/>
    </row>
    <row r="137" spans="2:7" ht="31.5">
      <c r="B137" s="647"/>
      <c r="C137" s="703" t="s">
        <v>166</v>
      </c>
      <c r="D137" s="696" t="s">
        <v>167</v>
      </c>
      <c r="E137" s="696" t="s">
        <v>168</v>
      </c>
      <c r="F137" s="697" t="s">
        <v>78</v>
      </c>
      <c r="G137" s="647"/>
    </row>
    <row r="138" spans="2:7" ht="15.75">
      <c r="B138" s="647"/>
      <c r="C138" s="703" t="s">
        <v>101</v>
      </c>
      <c r="D138" s="696" t="s">
        <v>167</v>
      </c>
      <c r="E138" s="696" t="s">
        <v>168</v>
      </c>
      <c r="F138" s="697" t="s">
        <v>78</v>
      </c>
      <c r="G138" s="647"/>
    </row>
    <row r="139" spans="2:7" ht="31.5">
      <c r="B139" s="647"/>
      <c r="C139" s="703" t="s">
        <v>109</v>
      </c>
      <c r="D139" s="696" t="s">
        <v>167</v>
      </c>
      <c r="E139" s="696" t="s">
        <v>168</v>
      </c>
      <c r="F139" s="697" t="s">
        <v>78</v>
      </c>
      <c r="G139" s="647"/>
    </row>
    <row r="140" spans="2:7" ht="31.5">
      <c r="B140" s="647"/>
      <c r="C140" s="703" t="s">
        <v>32</v>
      </c>
      <c r="D140" s="696" t="s">
        <v>56</v>
      </c>
      <c r="E140" s="696" t="s">
        <v>57</v>
      </c>
      <c r="F140" s="697" t="s">
        <v>58</v>
      </c>
      <c r="G140" s="647"/>
    </row>
    <row r="141" spans="2:7" ht="31.5">
      <c r="B141" s="647"/>
      <c r="C141" s="703" t="s">
        <v>1157</v>
      </c>
      <c r="D141" s="696" t="s">
        <v>56</v>
      </c>
      <c r="E141" s="696" t="s">
        <v>77</v>
      </c>
      <c r="F141" s="697" t="s">
        <v>71</v>
      </c>
      <c r="G141" s="647"/>
    </row>
    <row r="142" spans="2:7" ht="32.25" thickBot="1">
      <c r="B142" s="647"/>
      <c r="C142" s="704" t="s">
        <v>170</v>
      </c>
      <c r="D142" s="701" t="s">
        <v>56</v>
      </c>
      <c r="E142" s="701" t="s">
        <v>77</v>
      </c>
      <c r="F142" s="702" t="s">
        <v>71</v>
      </c>
      <c r="G142" s="647"/>
    </row>
    <row r="143" spans="2:7">
      <c r="B143" s="647"/>
      <c r="C143" s="647"/>
      <c r="D143" s="647"/>
      <c r="E143" s="647"/>
      <c r="F143" s="647"/>
      <c r="G143" s="647"/>
    </row>
    <row r="144" spans="2:7">
      <c r="B144" s="647"/>
      <c r="C144" s="647"/>
      <c r="D144" s="647"/>
      <c r="E144" s="647"/>
      <c r="F144" s="647"/>
      <c r="G144" s="647"/>
    </row>
    <row r="145" spans="2:7" ht="23.25">
      <c r="B145" s="675"/>
      <c r="C145" s="789" t="s">
        <v>1158</v>
      </c>
      <c r="D145" s="789"/>
      <c r="E145" s="789"/>
      <c r="F145" s="789"/>
      <c r="G145" s="675"/>
    </row>
    <row r="146" spans="2:7">
      <c r="B146" s="675"/>
      <c r="C146" s="705" t="s">
        <v>208</v>
      </c>
      <c r="D146" s="706"/>
      <c r="E146" s="706"/>
      <c r="F146" s="707"/>
      <c r="G146" s="675"/>
    </row>
    <row r="147" spans="2:7">
      <c r="B147" s="675"/>
      <c r="C147" s="708" t="s">
        <v>188</v>
      </c>
      <c r="D147" s="709"/>
      <c r="E147" s="710"/>
      <c r="F147" s="711" t="s">
        <v>189</v>
      </c>
      <c r="G147" s="675"/>
    </row>
    <row r="148" spans="2:7">
      <c r="B148" s="675"/>
      <c r="C148" s="712" t="s">
        <v>209</v>
      </c>
      <c r="D148" s="713"/>
      <c r="E148" s="714" t="s">
        <v>190</v>
      </c>
      <c r="F148" s="715">
        <v>850000</v>
      </c>
      <c r="G148" s="675"/>
    </row>
    <row r="149" spans="2:7">
      <c r="B149" s="675"/>
      <c r="C149" s="760" t="s">
        <v>1159</v>
      </c>
      <c r="D149" s="713"/>
      <c r="E149" s="714" t="s">
        <v>191</v>
      </c>
      <c r="F149" s="715">
        <v>30000</v>
      </c>
      <c r="G149" s="675"/>
    </row>
    <row r="150" spans="2:7">
      <c r="B150" s="675"/>
      <c r="C150" s="712" t="s">
        <v>210</v>
      </c>
      <c r="D150" s="713"/>
      <c r="E150" s="714" t="s">
        <v>190</v>
      </c>
      <c r="F150" s="715">
        <v>1600000</v>
      </c>
      <c r="G150" s="675"/>
    </row>
    <row r="151" spans="2:7">
      <c r="B151" s="675"/>
      <c r="C151" s="760" t="s">
        <v>1160</v>
      </c>
      <c r="D151" s="713"/>
      <c r="E151" s="714" t="s">
        <v>191</v>
      </c>
      <c r="F151" s="715">
        <v>25000</v>
      </c>
      <c r="G151" s="675"/>
    </row>
    <row r="152" spans="2:7">
      <c r="B152" s="675"/>
      <c r="C152" s="712" t="s">
        <v>211</v>
      </c>
      <c r="D152" s="713"/>
      <c r="E152" s="714" t="s">
        <v>190</v>
      </c>
      <c r="F152" s="715">
        <v>2850000</v>
      </c>
      <c r="G152" s="675"/>
    </row>
    <row r="153" spans="2:7">
      <c r="B153" s="675"/>
      <c r="C153" s="760" t="s">
        <v>1161</v>
      </c>
      <c r="D153" s="713"/>
      <c r="E153" s="714" t="s">
        <v>191</v>
      </c>
      <c r="F153" s="715">
        <v>20000</v>
      </c>
      <c r="G153" s="675"/>
    </row>
    <row r="154" spans="2:7">
      <c r="B154" s="675"/>
      <c r="C154" s="760" t="s">
        <v>1163</v>
      </c>
      <c r="D154" s="713"/>
      <c r="E154" s="714" t="s">
        <v>190</v>
      </c>
      <c r="F154" s="715">
        <v>3850000</v>
      </c>
      <c r="G154" s="675"/>
    </row>
    <row r="155" spans="2:7">
      <c r="B155" s="675"/>
      <c r="C155" s="760" t="s">
        <v>1162</v>
      </c>
      <c r="D155" s="713"/>
      <c r="E155" s="714" t="s">
        <v>191</v>
      </c>
      <c r="F155" s="715">
        <v>17000</v>
      </c>
      <c r="G155" s="675"/>
    </row>
    <row r="156" spans="2:7">
      <c r="B156" s="675"/>
      <c r="C156" s="712" t="s">
        <v>213</v>
      </c>
      <c r="D156" s="713"/>
      <c r="E156" s="714" t="s">
        <v>190</v>
      </c>
      <c r="F156" s="715">
        <v>4700000</v>
      </c>
      <c r="G156" s="675"/>
    </row>
    <row r="157" spans="2:7">
      <c r="B157" s="675"/>
      <c r="C157" s="760" t="s">
        <v>1164</v>
      </c>
      <c r="D157" s="713"/>
      <c r="E157" s="714" t="s">
        <v>191</v>
      </c>
      <c r="F157" s="715">
        <f>F155-(F153-F155)+1000</f>
        <v>15000</v>
      </c>
      <c r="G157" s="675"/>
    </row>
    <row r="158" spans="2:7">
      <c r="B158" s="675"/>
      <c r="C158" s="708" t="s">
        <v>192</v>
      </c>
      <c r="D158" s="709"/>
      <c r="E158" s="716"/>
      <c r="F158" s="717"/>
      <c r="G158" s="675"/>
    </row>
    <row r="159" spans="2:7">
      <c r="B159" s="675"/>
      <c r="C159" s="712" t="s">
        <v>209</v>
      </c>
      <c r="D159" s="713"/>
      <c r="E159" s="714" t="s">
        <v>190</v>
      </c>
      <c r="F159" s="715">
        <v>630000</v>
      </c>
      <c r="G159" s="675"/>
    </row>
    <row r="160" spans="2:7">
      <c r="B160" s="675"/>
      <c r="C160" s="760" t="s">
        <v>1159</v>
      </c>
      <c r="D160" s="713"/>
      <c r="E160" s="714" t="s">
        <v>191</v>
      </c>
      <c r="F160" s="715">
        <v>21320</v>
      </c>
      <c r="G160" s="675"/>
    </row>
    <row r="161" spans="2:7">
      <c r="B161" s="675"/>
      <c r="C161" s="712" t="s">
        <v>210</v>
      </c>
      <c r="D161" s="713"/>
      <c r="E161" s="714" t="s">
        <v>190</v>
      </c>
      <c r="F161" s="715">
        <v>1163000</v>
      </c>
      <c r="G161" s="675"/>
    </row>
    <row r="162" spans="2:7">
      <c r="B162" s="675"/>
      <c r="C162" s="760" t="s">
        <v>1160</v>
      </c>
      <c r="D162" s="713"/>
      <c r="E162" s="714" t="s">
        <v>191</v>
      </c>
      <c r="F162" s="715">
        <v>16740</v>
      </c>
      <c r="G162" s="675"/>
    </row>
    <row r="163" spans="2:7">
      <c r="B163" s="675"/>
      <c r="C163" s="712" t="s">
        <v>211</v>
      </c>
      <c r="D163" s="713"/>
      <c r="E163" s="714" t="s">
        <v>190</v>
      </c>
      <c r="F163" s="715">
        <v>2000000</v>
      </c>
      <c r="G163" s="675"/>
    </row>
    <row r="164" spans="2:7">
      <c r="B164" s="675"/>
      <c r="C164" s="760" t="s">
        <v>1161</v>
      </c>
      <c r="D164" s="713"/>
      <c r="E164" s="714" t="s">
        <v>191</v>
      </c>
      <c r="F164" s="715">
        <v>12000</v>
      </c>
      <c r="G164" s="675"/>
    </row>
    <row r="165" spans="2:7">
      <c r="B165" s="675"/>
      <c r="C165" s="712" t="s">
        <v>212</v>
      </c>
      <c r="D165" s="713"/>
      <c r="E165" s="714" t="s">
        <v>190</v>
      </c>
      <c r="F165" s="715">
        <v>2600000</v>
      </c>
      <c r="G165" s="675"/>
    </row>
    <row r="166" spans="2:7">
      <c r="B166" s="675"/>
      <c r="C166" s="760" t="s">
        <v>1162</v>
      </c>
      <c r="D166" s="713"/>
      <c r="E166" s="714" t="s">
        <v>191</v>
      </c>
      <c r="F166" s="715">
        <v>8000</v>
      </c>
      <c r="G166" s="675"/>
    </row>
    <row r="167" spans="2:7">
      <c r="B167" s="675"/>
      <c r="C167" s="760" t="s">
        <v>1165</v>
      </c>
      <c r="D167" s="713"/>
      <c r="E167" s="714" t="s">
        <v>190</v>
      </c>
      <c r="F167" s="715">
        <v>3000000</v>
      </c>
      <c r="G167" s="675"/>
    </row>
    <row r="168" spans="2:7">
      <c r="B168" s="675"/>
      <c r="C168" s="760" t="s">
        <v>1164</v>
      </c>
      <c r="D168" s="713"/>
      <c r="E168" s="714" t="s">
        <v>191</v>
      </c>
      <c r="F168" s="715">
        <v>4000</v>
      </c>
      <c r="G168" s="675"/>
    </row>
    <row r="169" spans="2:7">
      <c r="B169" s="675"/>
      <c r="C169" s="705" t="s">
        <v>207</v>
      </c>
      <c r="D169" s="706"/>
      <c r="E169" s="718"/>
      <c r="F169" s="719"/>
      <c r="G169" s="675"/>
    </row>
    <row r="170" spans="2:7">
      <c r="B170" s="675"/>
      <c r="C170" s="712" t="s">
        <v>193</v>
      </c>
      <c r="D170" s="713"/>
      <c r="E170" s="714" t="s">
        <v>194</v>
      </c>
      <c r="F170" s="715">
        <v>195000</v>
      </c>
      <c r="G170" s="675"/>
    </row>
    <row r="171" spans="2:7">
      <c r="B171" s="675"/>
      <c r="C171" s="760" t="s">
        <v>1183</v>
      </c>
      <c r="D171" s="713"/>
      <c r="E171" s="714"/>
      <c r="F171" s="715"/>
      <c r="G171" s="675"/>
    </row>
    <row r="172" spans="2:7">
      <c r="B172" s="675"/>
      <c r="C172" s="760" t="s">
        <v>1166</v>
      </c>
      <c r="D172" s="713"/>
      <c r="E172" s="696" t="s">
        <v>1167</v>
      </c>
      <c r="F172" s="720">
        <v>90000</v>
      </c>
      <c r="G172" s="675"/>
    </row>
    <row r="173" spans="2:7">
      <c r="B173" s="675"/>
      <c r="C173" s="760" t="s">
        <v>1168</v>
      </c>
      <c r="D173" s="713"/>
      <c r="E173" s="696" t="s">
        <v>820</v>
      </c>
      <c r="F173" s="720">
        <v>1350</v>
      </c>
      <c r="G173" s="675"/>
    </row>
    <row r="174" spans="2:7">
      <c r="B174" s="675"/>
      <c r="C174" s="712" t="s">
        <v>196</v>
      </c>
      <c r="D174" s="713"/>
      <c r="E174" s="696" t="s">
        <v>820</v>
      </c>
      <c r="F174" s="715">
        <v>6250</v>
      </c>
      <c r="G174" s="675"/>
    </row>
    <row r="175" spans="2:7">
      <c r="B175" s="675"/>
      <c r="C175" s="712" t="s">
        <v>197</v>
      </c>
      <c r="D175" s="713"/>
      <c r="E175" s="714"/>
      <c r="F175" s="715"/>
      <c r="G175" s="675"/>
    </row>
    <row r="176" spans="2:7">
      <c r="B176" s="675"/>
      <c r="C176" s="712" t="s">
        <v>198</v>
      </c>
      <c r="D176" s="713"/>
      <c r="E176" s="714" t="s">
        <v>199</v>
      </c>
      <c r="F176" s="720">
        <v>1500</v>
      </c>
      <c r="G176" s="675"/>
    </row>
    <row r="177" spans="2:7">
      <c r="B177" s="675"/>
      <c r="C177" s="712" t="s">
        <v>200</v>
      </c>
      <c r="D177" s="713"/>
      <c r="E177" s="714"/>
      <c r="F177" s="720"/>
      <c r="G177" s="675"/>
    </row>
    <row r="178" spans="2:7">
      <c r="B178" s="675"/>
      <c r="C178" s="760" t="s">
        <v>1169</v>
      </c>
      <c r="D178" s="713"/>
      <c r="E178" s="714" t="s">
        <v>199</v>
      </c>
      <c r="F178" s="720">
        <v>1500</v>
      </c>
      <c r="G178" s="675"/>
    </row>
    <row r="179" spans="2:7" ht="17.25">
      <c r="B179" s="675"/>
      <c r="C179" s="712" t="s">
        <v>201</v>
      </c>
      <c r="D179" s="713"/>
      <c r="E179" s="714" t="s">
        <v>214</v>
      </c>
      <c r="F179" s="720">
        <v>500</v>
      </c>
      <c r="G179" s="675"/>
    </row>
    <row r="180" spans="2:7">
      <c r="B180" s="675"/>
      <c r="C180" s="705" t="s">
        <v>206</v>
      </c>
      <c r="D180" s="706"/>
      <c r="E180" s="718"/>
      <c r="F180" s="719"/>
      <c r="G180" s="675"/>
    </row>
    <row r="181" spans="2:7">
      <c r="B181" s="675"/>
      <c r="C181" s="874" t="s">
        <v>1170</v>
      </c>
      <c r="D181" s="875"/>
      <c r="E181" s="714"/>
      <c r="F181" s="715"/>
      <c r="G181" s="675"/>
    </row>
    <row r="182" spans="2:7">
      <c r="B182" s="675"/>
      <c r="C182" s="876" t="s">
        <v>202</v>
      </c>
      <c r="D182" s="875"/>
      <c r="E182" s="714" t="s">
        <v>203</v>
      </c>
      <c r="F182" s="720">
        <v>450000</v>
      </c>
      <c r="G182" s="675"/>
    </row>
    <row r="183" spans="2:7" ht="33" customHeight="1">
      <c r="B183" s="675"/>
      <c r="C183" s="874" t="s">
        <v>1184</v>
      </c>
      <c r="D183" s="875"/>
      <c r="E183" s="714" t="s">
        <v>204</v>
      </c>
      <c r="F183" s="715">
        <v>600</v>
      </c>
      <c r="G183" s="675"/>
    </row>
    <row r="184" spans="2:7" ht="15.75" thickBot="1">
      <c r="B184" s="675"/>
      <c r="C184" s="721" t="s">
        <v>205</v>
      </c>
      <c r="D184" s="722"/>
      <c r="E184" s="723"/>
      <c r="F184" s="724"/>
      <c r="G184" s="675"/>
    </row>
    <row r="185" spans="2:7">
      <c r="B185" s="675"/>
      <c r="C185" s="675"/>
      <c r="D185" s="675"/>
      <c r="E185" s="675"/>
      <c r="F185" s="675"/>
      <c r="G185" s="675"/>
    </row>
    <row r="186" spans="2:7">
      <c r="B186" s="675"/>
      <c r="C186" s="675"/>
      <c r="D186" s="675"/>
      <c r="E186" s="675"/>
      <c r="F186" s="675"/>
      <c r="G186" s="675"/>
    </row>
  </sheetData>
  <sheetProtection password="A2B1" sheet="1" objects="1" scenarios="1"/>
  <mergeCells count="40">
    <mergeCell ref="C183:D183"/>
    <mergeCell ref="C181:D181"/>
    <mergeCell ref="C182:D182"/>
    <mergeCell ref="C145:F145"/>
    <mergeCell ref="D66:F67"/>
    <mergeCell ref="C71:C72"/>
    <mergeCell ref="D76:F76"/>
    <mergeCell ref="D78:F78"/>
    <mergeCell ref="C96:C97"/>
    <mergeCell ref="C109:F110"/>
    <mergeCell ref="C108:F108"/>
    <mergeCell ref="E85:E86"/>
    <mergeCell ref="C88:C90"/>
    <mergeCell ref="D88:D90"/>
    <mergeCell ref="E88:E90"/>
    <mergeCell ref="C104:C105"/>
    <mergeCell ref="C4:F4"/>
    <mergeCell ref="C5:F5"/>
    <mergeCell ref="C6:F6"/>
    <mergeCell ref="C82:F82"/>
    <mergeCell ref="D8:E8"/>
    <mergeCell ref="C14:F16"/>
    <mergeCell ref="C10:E10"/>
    <mergeCell ref="E40:E41"/>
    <mergeCell ref="C49:C50"/>
    <mergeCell ref="C53:C55"/>
    <mergeCell ref="C18:F18"/>
    <mergeCell ref="C63:C64"/>
    <mergeCell ref="C13:F13"/>
    <mergeCell ref="C21:C23"/>
    <mergeCell ref="C25:C28"/>
    <mergeCell ref="C85:C86"/>
    <mergeCell ref="D85:D86"/>
    <mergeCell ref="E35:E36"/>
    <mergeCell ref="D40:D41"/>
    <mergeCell ref="C57:F57"/>
    <mergeCell ref="C33:C38"/>
    <mergeCell ref="C40:C42"/>
    <mergeCell ref="C44:C45"/>
    <mergeCell ref="D35:D36"/>
  </mergeCells>
  <hyperlinks>
    <hyperlink ref="D8" location="'ULB target'!A1" display="ULB TARGET "/>
    <hyperlink ref="F8" location="Assumptions!A1" display="ASSUMPTIONS"/>
    <hyperlink ref="C8" location="'User guide'!A1" display="USER GUIDE"/>
    <hyperlink ref="F36" location="Guidelines!C146" display="ANNEXE NO.1"/>
    <hyperlink ref="F41" location="Guidelines!C169" display="ANNEXE NO.2"/>
    <hyperlink ref="C10:E10" location="Guidelines!C13" display="Guidelines for arriving at block costs"/>
    <hyperlink ref="F10" location="Guidelines!C108" display="Assumptions for grouping of KPIs"/>
    <hyperlink ref="C11" location="Guidelines!C18" display="Water supply"/>
    <hyperlink ref="D11" location="Guidelines!C57" display="Waste Water"/>
    <hyperlink ref="E11" location="Guidelines!C82" display="Solid Waste"/>
  </hyperlinks>
  <pageMargins left="0.32" right="0.21" top="0.24" bottom="0.23" header="0.3" footer="0.23"/>
  <pageSetup paperSize="9" scale="54" orientation="portrait" verticalDpi="1200" r:id="rId1"/>
  <rowBreaks count="3" manualBreakCount="3">
    <brk id="56" min="1" max="6" man="1"/>
    <brk id="106" min="1" max="6" man="1"/>
    <brk id="143" min="1" max="6"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13</vt:i4>
      </vt:variant>
    </vt:vector>
  </HeadingPairs>
  <TitlesOfParts>
    <vt:vector size="22" baseType="lpstr">
      <vt:lpstr>Cover</vt:lpstr>
      <vt:lpstr>User guide</vt:lpstr>
      <vt:lpstr>ULB target</vt:lpstr>
      <vt:lpstr>General Info</vt:lpstr>
      <vt:lpstr>water</vt:lpstr>
      <vt:lpstr>sewerage</vt:lpstr>
      <vt:lpstr>swm</vt:lpstr>
      <vt:lpstr>Equity Related Information</vt:lpstr>
      <vt:lpstr>Guidelines</vt:lpstr>
      <vt:lpstr>Cover!Print_Area</vt:lpstr>
      <vt:lpstr>'Equity Related Information'!Print_Area</vt:lpstr>
      <vt:lpstr>'General Info'!Print_Area</vt:lpstr>
      <vt:lpstr>Guidelines!Print_Area</vt:lpstr>
      <vt:lpstr>sewerage!Print_Area</vt:lpstr>
      <vt:lpstr>swm!Print_Area</vt:lpstr>
      <vt:lpstr>'ULB target'!Print_Area</vt:lpstr>
      <vt:lpstr>'User guide'!Print_Area</vt:lpstr>
      <vt:lpstr>water!Print_Area</vt:lpstr>
      <vt:lpstr>Guidelines!Print_Titles</vt:lpstr>
      <vt:lpstr>'ULB target'!Print_Titles</vt:lpstr>
      <vt:lpstr>ULBclassSelected</vt:lpstr>
      <vt:lpstr>ULBclassSelectedID</vt:lpstr>
    </vt:vector>
  </TitlesOfParts>
  <Company>cept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maitri</dc:creator>
  <cp:lastModifiedBy>Admin</cp:lastModifiedBy>
  <cp:lastPrinted>2013-10-28T11:27:03Z</cp:lastPrinted>
  <dcterms:created xsi:type="dcterms:W3CDTF">2011-12-05T07:27:11Z</dcterms:created>
  <dcterms:modified xsi:type="dcterms:W3CDTF">2013-11-30T06:01:31Z</dcterms:modified>
</cp:coreProperties>
</file>