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bookViews>
    <workbookView xWindow="0" yWindow="0" windowWidth="15330" windowHeight="3750" tabRatio="824"/>
  </bookViews>
  <sheets>
    <sheet name="Title" sheetId="25" r:id="rId1"/>
    <sheet name="Contents &amp; Instructions" sheetId="18" r:id="rId2"/>
    <sheet name="Input&gt;&gt;" sheetId="26" r:id="rId3"/>
    <sheet name="Key Assumptions" sheetId="12" r:id="rId4"/>
    <sheet name="Capital cost estimates" sheetId="1" r:id="rId5"/>
    <sheet name="Operating cost estimates" sheetId="3" r:id="rId6"/>
    <sheet name="Output&gt;&gt;" sheetId="20" r:id="rId7"/>
    <sheet name="Financial Analysis- Option 1" sheetId="6" r:id="rId8"/>
    <sheet name="Financial Analysis- Option 3,4 " sheetId="17" r:id="rId9"/>
    <sheet name="Financial Analysis- Option 2" sheetId="14" r:id="rId10"/>
    <sheet name="Option 2 - others models" sheetId="24" r:id="rId11"/>
    <sheet name="Financial Analysis- Option 5" sheetId="19" state="hidden"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9" l="1"/>
  <c r="C26" i="19"/>
  <c r="C58" i="19" s="1"/>
  <c r="C71" i="19" s="1"/>
  <c r="C84" i="19" s="1"/>
  <c r="C95" i="19" s="1"/>
  <c r="C106" i="19" s="1"/>
  <c r="C120" i="19" s="1"/>
  <c r="C134" i="19" s="1"/>
  <c r="C154" i="19" s="1"/>
  <c r="C167" i="19" s="1"/>
  <c r="C178" i="19" s="1"/>
  <c r="C186" i="19" s="1"/>
  <c r="C25" i="19"/>
  <c r="C57" i="19" s="1"/>
  <c r="C70" i="19" s="1"/>
  <c r="C83" i="19" s="1"/>
  <c r="C94" i="19" s="1"/>
  <c r="C105" i="19" s="1"/>
  <c r="C119" i="19" s="1"/>
  <c r="C133" i="19" s="1"/>
  <c r="C153" i="19" s="1"/>
  <c r="C166" i="19" s="1"/>
  <c r="C177" i="19" s="1"/>
  <c r="C185" i="19" s="1"/>
  <c r="C24" i="19"/>
  <c r="C56" i="19" s="1"/>
  <c r="C69" i="19" s="1"/>
  <c r="C82" i="19" s="1"/>
  <c r="C93" i="19" s="1"/>
  <c r="C104" i="19" s="1"/>
  <c r="C118" i="19" s="1"/>
  <c r="C132" i="19" s="1"/>
  <c r="C152" i="19" s="1"/>
  <c r="C165" i="19" s="1"/>
  <c r="C176" i="19" s="1"/>
  <c r="C184" i="19" s="1"/>
  <c r="C23" i="19"/>
  <c r="C55" i="19" s="1"/>
  <c r="C68" i="19" s="1"/>
  <c r="C81" i="19" s="1"/>
  <c r="C92" i="19" s="1"/>
  <c r="C103" i="19" s="1"/>
  <c r="C117" i="19" s="1"/>
  <c r="C131" i="19" s="1"/>
  <c r="C151" i="19" s="1"/>
  <c r="C164" i="19" s="1"/>
  <c r="C175" i="19" s="1"/>
  <c r="C183" i="19" s="1"/>
  <c r="C22" i="19"/>
  <c r="C54" i="19" s="1"/>
  <c r="C67" i="19" s="1"/>
  <c r="C80" i="19" s="1"/>
  <c r="C91" i="19" s="1"/>
  <c r="C102" i="19" s="1"/>
  <c r="C116" i="19" s="1"/>
  <c r="C130" i="19" s="1"/>
  <c r="C150" i="19" s="1"/>
  <c r="C163" i="19" s="1"/>
  <c r="C174" i="19" s="1"/>
  <c r="C182" i="19" s="1"/>
  <c r="H6" i="19"/>
  <c r="I6" i="19" s="1"/>
  <c r="G6" i="19"/>
  <c r="F78" i="14"/>
  <c r="C71" i="14"/>
  <c r="C103" i="14" s="1"/>
  <c r="C116" i="14" s="1"/>
  <c r="C129" i="14" s="1"/>
  <c r="C140" i="14" s="1"/>
  <c r="C151" i="14" s="1"/>
  <c r="C165" i="14" s="1"/>
  <c r="C179" i="14" s="1"/>
  <c r="C188" i="14" s="1"/>
  <c r="C70" i="14"/>
  <c r="C102" i="14" s="1"/>
  <c r="C115" i="14" s="1"/>
  <c r="C128" i="14" s="1"/>
  <c r="C139" i="14" s="1"/>
  <c r="C150" i="14" s="1"/>
  <c r="C164" i="14" s="1"/>
  <c r="C178" i="14" s="1"/>
  <c r="C187" i="14" s="1"/>
  <c r="C69" i="14"/>
  <c r="C101" i="14" s="1"/>
  <c r="C114" i="14" s="1"/>
  <c r="C127" i="14" s="1"/>
  <c r="C138" i="14" s="1"/>
  <c r="C149" i="14" s="1"/>
  <c r="C163" i="14" s="1"/>
  <c r="C177" i="14" s="1"/>
  <c r="C186" i="14" s="1"/>
  <c r="C68" i="14"/>
  <c r="C100" i="14" s="1"/>
  <c r="C113" i="14" s="1"/>
  <c r="C126" i="14" s="1"/>
  <c r="C137" i="14" s="1"/>
  <c r="C148" i="14" s="1"/>
  <c r="C162" i="14" s="1"/>
  <c r="C176" i="14" s="1"/>
  <c r="C185" i="14" s="1"/>
  <c r="C67" i="14"/>
  <c r="C99" i="14" s="1"/>
  <c r="C112" i="14" s="1"/>
  <c r="C125" i="14" s="1"/>
  <c r="C136" i="14" s="1"/>
  <c r="C147" i="14" s="1"/>
  <c r="C161" i="14" s="1"/>
  <c r="C175" i="14" s="1"/>
  <c r="C184" i="14" s="1"/>
  <c r="C28" i="14"/>
  <c r="C36" i="14" s="1"/>
  <c r="C17" i="14"/>
  <c r="C16" i="14"/>
  <c r="C27" i="14" s="1"/>
  <c r="C35" i="14" s="1"/>
  <c r="C15" i="14"/>
  <c r="C26" i="14" s="1"/>
  <c r="C34" i="14" s="1"/>
  <c r="C14" i="14"/>
  <c r="C25" i="14" s="1"/>
  <c r="C33" i="14" s="1"/>
  <c r="C13" i="14"/>
  <c r="C24" i="14" s="1"/>
  <c r="C32" i="14" s="1"/>
  <c r="H6" i="14"/>
  <c r="I6" i="14" s="1"/>
  <c r="J6" i="14" s="1"/>
  <c r="G6" i="14"/>
  <c r="J92" i="6"/>
  <c r="J93" i="6" s="1"/>
  <c r="I92" i="6"/>
  <c r="I93" i="6" s="1"/>
  <c r="H92" i="6"/>
  <c r="H93" i="6" s="1"/>
  <c r="G92" i="6"/>
  <c r="G93" i="6" s="1"/>
  <c r="F92" i="6"/>
  <c r="F93" i="6" s="1"/>
  <c r="F77" i="6"/>
  <c r="G77" i="6" s="1"/>
  <c r="H77" i="6" s="1"/>
  <c r="I77" i="6" s="1"/>
  <c r="J77" i="6" s="1"/>
  <c r="C70" i="6"/>
  <c r="C102" i="6" s="1"/>
  <c r="C115" i="6" s="1"/>
  <c r="C128" i="6" s="1"/>
  <c r="C139" i="6" s="1"/>
  <c r="C150" i="6" s="1"/>
  <c r="C164" i="6" s="1"/>
  <c r="C178" i="6" s="1"/>
  <c r="C188" i="6" s="1"/>
  <c r="C69" i="6"/>
  <c r="C101" i="6" s="1"/>
  <c r="C114" i="6" s="1"/>
  <c r="C127" i="6" s="1"/>
  <c r="C138" i="6" s="1"/>
  <c r="C149" i="6" s="1"/>
  <c r="C163" i="6" s="1"/>
  <c r="C177" i="6" s="1"/>
  <c r="C187" i="6" s="1"/>
  <c r="C68" i="6"/>
  <c r="C100" i="6" s="1"/>
  <c r="C113" i="6" s="1"/>
  <c r="C126" i="6" s="1"/>
  <c r="C137" i="6" s="1"/>
  <c r="C148" i="6" s="1"/>
  <c r="C162" i="6" s="1"/>
  <c r="C176" i="6" s="1"/>
  <c r="C186" i="6" s="1"/>
  <c r="C67" i="6"/>
  <c r="C99" i="6" s="1"/>
  <c r="C112" i="6" s="1"/>
  <c r="C125" i="6" s="1"/>
  <c r="C136" i="6" s="1"/>
  <c r="C147" i="6" s="1"/>
  <c r="C161" i="6" s="1"/>
  <c r="C175" i="6" s="1"/>
  <c r="C185" i="6" s="1"/>
  <c r="C66" i="6"/>
  <c r="C98" i="6" s="1"/>
  <c r="C111" i="6" s="1"/>
  <c r="C124" i="6" s="1"/>
  <c r="C135" i="6" s="1"/>
  <c r="C146" i="6" s="1"/>
  <c r="C160" i="6" s="1"/>
  <c r="C174" i="6" s="1"/>
  <c r="C184" i="6" s="1"/>
  <c r="J41" i="6"/>
  <c r="J48" i="6" s="1"/>
  <c r="J40" i="6"/>
  <c r="J47" i="6" s="1"/>
  <c r="I40" i="6"/>
  <c r="I47" i="6" s="1"/>
  <c r="J39" i="6"/>
  <c r="J46" i="6" s="1"/>
  <c r="I39" i="6"/>
  <c r="I46" i="6" s="1"/>
  <c r="H39" i="6"/>
  <c r="H46" i="6" s="1"/>
  <c r="J38" i="6"/>
  <c r="J45" i="6" s="1"/>
  <c r="I38" i="6"/>
  <c r="I45" i="6" s="1"/>
  <c r="H38" i="6"/>
  <c r="H45" i="6" s="1"/>
  <c r="G38" i="6"/>
  <c r="G45" i="6" s="1"/>
  <c r="J34" i="6"/>
  <c r="J33" i="6"/>
  <c r="I33" i="6"/>
  <c r="J32" i="6"/>
  <c r="I32" i="6"/>
  <c r="H32" i="6"/>
  <c r="J31" i="6"/>
  <c r="I31" i="6"/>
  <c r="H31" i="6"/>
  <c r="G31" i="6"/>
  <c r="C16" i="6"/>
  <c r="C27" i="6" s="1"/>
  <c r="C35" i="6" s="1"/>
  <c r="C15" i="6"/>
  <c r="C26" i="6" s="1"/>
  <c r="C34" i="6" s="1"/>
  <c r="C14" i="6"/>
  <c r="C25" i="6" s="1"/>
  <c r="C33" i="6" s="1"/>
  <c r="C13" i="6"/>
  <c r="C24" i="6" s="1"/>
  <c r="C32" i="6" s="1"/>
  <c r="C12" i="6"/>
  <c r="C23" i="6" s="1"/>
  <c r="C31" i="6" s="1"/>
  <c r="H6" i="6"/>
  <c r="I6" i="6" s="1"/>
  <c r="J6" i="6" s="1"/>
  <c r="G6" i="6"/>
  <c r="H70" i="3"/>
  <c r="C70" i="3"/>
  <c r="I70" i="3" s="1"/>
  <c r="J70" i="3" s="1"/>
  <c r="H69" i="3"/>
  <c r="C69" i="3"/>
  <c r="I69" i="3" s="1"/>
  <c r="J69" i="3" s="1"/>
  <c r="H68" i="3"/>
  <c r="C68" i="3"/>
  <c r="D73" i="3" s="1"/>
  <c r="D11" i="3"/>
  <c r="K8" i="3"/>
  <c r="K11" i="3" s="1"/>
  <c r="G8" i="3"/>
  <c r="D62" i="3" s="1"/>
  <c r="D7" i="3"/>
  <c r="D33" i="1"/>
  <c r="D32" i="1"/>
  <c r="D31" i="1"/>
  <c r="D34" i="1" s="1"/>
  <c r="D25" i="1"/>
  <c r="D24" i="1"/>
  <c r="D26" i="1" s="1"/>
  <c r="D21" i="1"/>
  <c r="D22" i="1" s="1"/>
  <c r="I15" i="1"/>
  <c r="I11" i="1"/>
  <c r="E9" i="17" s="1"/>
  <c r="D10" i="1"/>
  <c r="D9" i="1"/>
  <c r="AA35" i="12"/>
  <c r="N35" i="12"/>
  <c r="AA34" i="12"/>
  <c r="N34" i="12"/>
  <c r="AA33" i="12"/>
  <c r="N33" i="12"/>
  <c r="AA32" i="12"/>
  <c r="N32" i="12"/>
  <c r="AA31" i="12"/>
  <c r="N31" i="12"/>
  <c r="AA30" i="12"/>
  <c r="N30" i="12"/>
  <c r="AA29" i="12"/>
  <c r="N29" i="12"/>
  <c r="G78" i="14" s="1"/>
  <c r="H78" i="14" s="1"/>
  <c r="I78" i="14" s="1"/>
  <c r="J78" i="14" s="1"/>
  <c r="AA28" i="12"/>
  <c r="N28" i="12"/>
  <c r="AA27" i="12"/>
  <c r="N27" i="12"/>
  <c r="E22" i="12"/>
  <c r="N22" i="12" s="1"/>
  <c r="AA22" i="12" s="1"/>
  <c r="N21" i="12"/>
  <c r="AA21" i="12" s="1"/>
  <c r="F21" i="12"/>
  <c r="AA15" i="12"/>
  <c r="O15" i="12"/>
  <c r="N15" i="12"/>
  <c r="G15" i="12"/>
  <c r="F15" i="12"/>
  <c r="AB15" i="12" s="1"/>
  <c r="AA10" i="12"/>
  <c r="AH10" i="12" s="1"/>
  <c r="N10" i="12"/>
  <c r="AA9" i="12"/>
  <c r="N9" i="12"/>
  <c r="AH8" i="12"/>
  <c r="N8" i="12"/>
  <c r="O22" i="12" s="1"/>
  <c r="E8" i="12"/>
  <c r="F22" i="12" s="1"/>
  <c r="AA7" i="12"/>
  <c r="N7" i="12"/>
  <c r="O21" i="12" s="1"/>
  <c r="E10" i="19" l="1"/>
  <c r="E55" i="14"/>
  <c r="E54" i="6"/>
  <c r="E11" i="19"/>
  <c r="E56" i="14"/>
  <c r="E55" i="6"/>
  <c r="D27" i="1"/>
  <c r="E19" i="19"/>
  <c r="E64" i="14"/>
  <c r="E63" i="6"/>
  <c r="F44" i="19"/>
  <c r="G44" i="19" s="1"/>
  <c r="H44" i="19" s="1"/>
  <c r="I44" i="19" s="1"/>
  <c r="J44" i="19" s="1"/>
  <c r="F89" i="14"/>
  <c r="G89" i="14" s="1"/>
  <c r="H89" i="14" s="1"/>
  <c r="I89" i="14" s="1"/>
  <c r="J89" i="14" s="1"/>
  <c r="F88" i="6"/>
  <c r="G88" i="6" s="1"/>
  <c r="H88" i="6" s="1"/>
  <c r="I88" i="6" s="1"/>
  <c r="J88" i="6" s="1"/>
  <c r="AC15" i="12"/>
  <c r="E23" i="12"/>
  <c r="N23" i="12" s="1"/>
  <c r="AA23" i="12" s="1"/>
  <c r="AA8" i="12"/>
  <c r="H15" i="12"/>
  <c r="P15" i="12"/>
  <c r="AB21" i="12"/>
  <c r="J34" i="14"/>
  <c r="J33" i="14"/>
  <c r="H33" i="14"/>
  <c r="J32" i="14"/>
  <c r="H32" i="14"/>
  <c r="I34" i="14"/>
  <c r="I33" i="14"/>
  <c r="I32" i="14"/>
  <c r="G32" i="14"/>
  <c r="I41" i="14"/>
  <c r="I48" i="14" s="1"/>
  <c r="J40" i="14"/>
  <c r="J47" i="14" s="1"/>
  <c r="H40" i="14"/>
  <c r="H47" i="14" s="1"/>
  <c r="I39" i="14"/>
  <c r="I46" i="14" s="1"/>
  <c r="G39" i="14"/>
  <c r="G46" i="14" s="1"/>
  <c r="J41" i="14"/>
  <c r="J48" i="14" s="1"/>
  <c r="I40" i="14"/>
  <c r="I47" i="14" s="1"/>
  <c r="J39" i="14"/>
  <c r="J46" i="14" s="1"/>
  <c r="H39" i="14"/>
  <c r="H46" i="14" s="1"/>
  <c r="E14" i="17"/>
  <c r="E15" i="17"/>
  <c r="E13" i="17"/>
  <c r="I17" i="1"/>
  <c r="E12" i="19" s="1"/>
  <c r="E17" i="19"/>
  <c r="E62" i="14"/>
  <c r="E61" i="6"/>
  <c r="D8" i="3"/>
  <c r="K9" i="3"/>
  <c r="K12" i="3"/>
  <c r="K13" i="3"/>
  <c r="D31" i="3"/>
  <c r="D32" i="3" s="1"/>
  <c r="D34" i="3"/>
  <c r="D39" i="3"/>
  <c r="D40" i="3" s="1"/>
  <c r="D57" i="3"/>
  <c r="D63" i="3"/>
  <c r="F63" i="19"/>
  <c r="F113" i="19" s="1"/>
  <c r="E9" i="19"/>
  <c r="E54" i="14"/>
  <c r="E58" i="14" s="1"/>
  <c r="E53" i="6"/>
  <c r="E57" i="6" s="1"/>
  <c r="E16" i="19"/>
  <c r="E61" i="14"/>
  <c r="E60" i="6"/>
  <c r="E18" i="19"/>
  <c r="E63" i="14"/>
  <c r="E62" i="6"/>
  <c r="D35" i="3"/>
  <c r="D51" i="3"/>
  <c r="D52" i="3" s="1"/>
  <c r="D55" i="3" s="1"/>
  <c r="I68" i="3"/>
  <c r="J68" i="3" s="1"/>
  <c r="J71" i="3" s="1"/>
  <c r="C71" i="3"/>
  <c r="J6" i="19"/>
  <c r="G33" i="19"/>
  <c r="H33" i="19" s="1"/>
  <c r="I33" i="19" s="1"/>
  <c r="J33" i="19" s="1"/>
  <c r="F42" i="19" l="1"/>
  <c r="F87" i="14"/>
  <c r="F86" i="6"/>
  <c r="F43" i="19"/>
  <c r="G43" i="19" s="1"/>
  <c r="H43" i="19" s="1"/>
  <c r="I43" i="19" s="1"/>
  <c r="J43" i="19" s="1"/>
  <c r="F88" i="14"/>
  <c r="G88" i="14" s="1"/>
  <c r="H88" i="14" s="1"/>
  <c r="I88" i="14" s="1"/>
  <c r="J88" i="14" s="1"/>
  <c r="F87" i="6"/>
  <c r="G87" i="6" s="1"/>
  <c r="H87" i="6" s="1"/>
  <c r="I87" i="6" s="1"/>
  <c r="J87" i="6" s="1"/>
  <c r="F32" i="19"/>
  <c r="G32" i="19" s="1"/>
  <c r="H32" i="19" s="1"/>
  <c r="I32" i="19" s="1"/>
  <c r="J32" i="19" s="1"/>
  <c r="F77" i="14"/>
  <c r="G77" i="14" s="1"/>
  <c r="H77" i="14" s="1"/>
  <c r="I77" i="14" s="1"/>
  <c r="J77" i="14" s="1"/>
  <c r="F76" i="6"/>
  <c r="G76" i="6" s="1"/>
  <c r="H76" i="6" s="1"/>
  <c r="I76" i="6" s="1"/>
  <c r="J76" i="6" s="1"/>
  <c r="D46" i="3"/>
  <c r="D47" i="3" s="1"/>
  <c r="D12" i="3"/>
  <c r="D13" i="3" s="1"/>
  <c r="D9" i="3"/>
  <c r="E137" i="19"/>
  <c r="E138" i="19"/>
  <c r="J139" i="19"/>
  <c r="F37" i="19"/>
  <c r="G37" i="19" s="1"/>
  <c r="H37" i="19" s="1"/>
  <c r="I37" i="19" s="1"/>
  <c r="J37" i="19" s="1"/>
  <c r="F82" i="14"/>
  <c r="G82" i="14" s="1"/>
  <c r="H82" i="14" s="1"/>
  <c r="I82" i="14" s="1"/>
  <c r="J82" i="14" s="1"/>
  <c r="F81" i="6"/>
  <c r="G81" i="6" s="1"/>
  <c r="H81" i="6" s="1"/>
  <c r="I81" i="6" s="1"/>
  <c r="J81" i="6" s="1"/>
  <c r="E170" i="6"/>
  <c r="E108" i="6"/>
  <c r="I107" i="6"/>
  <c r="I157" i="6" s="1"/>
  <c r="G107" i="6"/>
  <c r="G157" i="6" s="1"/>
  <c r="E169" i="6"/>
  <c r="H107" i="6"/>
  <c r="H157" i="6" s="1"/>
  <c r="F107" i="6"/>
  <c r="F157" i="6" s="1"/>
  <c r="E13" i="12"/>
  <c r="E64" i="19"/>
  <c r="F64" i="19" s="1"/>
  <c r="E13" i="19"/>
  <c r="F38" i="19"/>
  <c r="G38" i="19" s="1"/>
  <c r="H38" i="19" s="1"/>
  <c r="I38" i="19" s="1"/>
  <c r="J38" i="19" s="1"/>
  <c r="F83" i="14"/>
  <c r="G83" i="14" s="1"/>
  <c r="H83" i="14" s="1"/>
  <c r="I83" i="14" s="1"/>
  <c r="J83" i="14" s="1"/>
  <c r="F82" i="6"/>
  <c r="G82" i="6" s="1"/>
  <c r="H82" i="6" s="1"/>
  <c r="I82" i="6" s="1"/>
  <c r="J82" i="6" s="1"/>
  <c r="F34" i="19"/>
  <c r="G34" i="19" s="1"/>
  <c r="H34" i="19" s="1"/>
  <c r="I34" i="19" s="1"/>
  <c r="J34" i="19" s="1"/>
  <c r="F79" i="14"/>
  <c r="G79" i="14" s="1"/>
  <c r="H79" i="14" s="1"/>
  <c r="I79" i="14" s="1"/>
  <c r="J79" i="14" s="1"/>
  <c r="F78" i="6"/>
  <c r="G78" i="6" s="1"/>
  <c r="H78" i="6" s="1"/>
  <c r="I78" i="6" s="1"/>
  <c r="J78" i="6" s="1"/>
  <c r="F48" i="19"/>
  <c r="G48" i="19" s="1"/>
  <c r="H48" i="19" s="1"/>
  <c r="I48" i="19" s="1"/>
  <c r="J48" i="19" s="1"/>
  <c r="F93" i="14"/>
  <c r="F47" i="19"/>
  <c r="F92" i="14"/>
  <c r="K16" i="3"/>
  <c r="E19" i="17" s="1"/>
  <c r="P16" i="12"/>
  <c r="E126" i="19"/>
  <c r="AB22" i="12"/>
  <c r="H63" i="19"/>
  <c r="H113" i="19" s="1"/>
  <c r="AC16" i="12"/>
  <c r="E125" i="19"/>
  <c r="F35" i="19"/>
  <c r="G35" i="19" s="1"/>
  <c r="H35" i="19" s="1"/>
  <c r="I35" i="19" s="1"/>
  <c r="J35" i="19" s="1"/>
  <c r="F80" i="14"/>
  <c r="G80" i="14" s="1"/>
  <c r="H80" i="14" s="1"/>
  <c r="I80" i="14" s="1"/>
  <c r="J80" i="14" s="1"/>
  <c r="F79" i="6"/>
  <c r="G79" i="6" s="1"/>
  <c r="H79" i="6" s="1"/>
  <c r="I79" i="6" s="1"/>
  <c r="J79" i="6" s="1"/>
  <c r="E170" i="14"/>
  <c r="H108" i="14"/>
  <c r="H158" i="14" s="1"/>
  <c r="F108" i="14"/>
  <c r="F158" i="14" s="1"/>
  <c r="E7" i="24"/>
  <c r="E25" i="24" s="1"/>
  <c r="E171" i="14"/>
  <c r="E109" i="14"/>
  <c r="I108" i="14"/>
  <c r="I158" i="14" s="1"/>
  <c r="G108" i="14"/>
  <c r="G158" i="14" s="1"/>
  <c r="N13" i="12"/>
  <c r="F36" i="19"/>
  <c r="G36" i="19" s="1"/>
  <c r="H36" i="19" s="1"/>
  <c r="I36" i="19" s="1"/>
  <c r="J36" i="19" s="1"/>
  <c r="F81" i="14"/>
  <c r="G81" i="14" s="1"/>
  <c r="H81" i="14" s="1"/>
  <c r="I81" i="14" s="1"/>
  <c r="J81" i="14" s="1"/>
  <c r="F80" i="6"/>
  <c r="G80" i="6" s="1"/>
  <c r="H80" i="6" s="1"/>
  <c r="I80" i="6" s="1"/>
  <c r="J80" i="6" s="1"/>
  <c r="D43" i="3"/>
  <c r="H16" i="12"/>
  <c r="AD15" i="12"/>
  <c r="Q15" i="12"/>
  <c r="Q16" i="12" s="1"/>
  <c r="I15" i="12"/>
  <c r="G63" i="19"/>
  <c r="G113" i="19" s="1"/>
  <c r="AE15" i="12" l="1"/>
  <c r="I16" i="12"/>
  <c r="R15" i="12"/>
  <c r="I63" i="19"/>
  <c r="I113" i="19" s="1"/>
  <c r="AD16" i="12"/>
  <c r="N17" i="12"/>
  <c r="I172" i="14"/>
  <c r="G172" i="14"/>
  <c r="J172" i="14"/>
  <c r="H172" i="14"/>
  <c r="F172" i="14"/>
  <c r="F171" i="14" s="1"/>
  <c r="E150" i="19"/>
  <c r="E116" i="19"/>
  <c r="E117" i="19" s="1"/>
  <c r="E118" i="19" s="1"/>
  <c r="E119" i="19" s="1"/>
  <c r="E120" i="19" s="1"/>
  <c r="F126" i="19"/>
  <c r="F127" i="19"/>
  <c r="I127" i="19"/>
  <c r="H127" i="19"/>
  <c r="G127" i="19"/>
  <c r="J127" i="19"/>
  <c r="F109" i="14"/>
  <c r="E188" i="14"/>
  <c r="E186" i="14"/>
  <c r="E184" i="14"/>
  <c r="E161" i="14"/>
  <c r="E162" i="14" s="1"/>
  <c r="E163" i="14" s="1"/>
  <c r="E164" i="14" s="1"/>
  <c r="E165" i="14" s="1"/>
  <c r="E187" i="14"/>
  <c r="E185" i="14"/>
  <c r="F94" i="14"/>
  <c r="E29" i="24" s="1"/>
  <c r="G92" i="14"/>
  <c r="E13" i="24"/>
  <c r="G93" i="14"/>
  <c r="H93" i="14" s="1"/>
  <c r="I93" i="14" s="1"/>
  <c r="J93" i="14" s="1"/>
  <c r="AA13" i="12"/>
  <c r="E16" i="12"/>
  <c r="E17" i="12" s="1"/>
  <c r="F17" i="12" s="1"/>
  <c r="G17" i="12" s="1"/>
  <c r="H17" i="12" s="1"/>
  <c r="I17" i="12" s="1"/>
  <c r="N16" i="12"/>
  <c r="F16" i="12"/>
  <c r="AA16" i="12"/>
  <c r="O16" i="12"/>
  <c r="AB16" i="12"/>
  <c r="G16" i="12"/>
  <c r="E187" i="6"/>
  <c r="E185" i="6"/>
  <c r="E188" i="6"/>
  <c r="E186" i="6"/>
  <c r="E184" i="6"/>
  <c r="E160" i="6"/>
  <c r="E161" i="6" s="1"/>
  <c r="E162" i="6" s="1"/>
  <c r="E163" i="6" s="1"/>
  <c r="E164" i="6" s="1"/>
  <c r="F108" i="6"/>
  <c r="F139" i="19"/>
  <c r="F138" i="19" s="1"/>
  <c r="I139" i="19"/>
  <c r="H139" i="19"/>
  <c r="G139" i="19"/>
  <c r="F31" i="19"/>
  <c r="F76" i="14"/>
  <c r="F75" i="6"/>
  <c r="F90" i="14"/>
  <c r="G87" i="14"/>
  <c r="E24" i="17"/>
  <c r="E25" i="17"/>
  <c r="E23" i="17"/>
  <c r="G47" i="19"/>
  <c r="F49" i="19"/>
  <c r="F160" i="19"/>
  <c r="G64" i="19"/>
  <c r="J107" i="6"/>
  <c r="J157" i="6" s="1"/>
  <c r="J171" i="6"/>
  <c r="H171" i="6"/>
  <c r="F171" i="6"/>
  <c r="F172" i="6"/>
  <c r="F119" i="6" s="1"/>
  <c r="I171" i="6"/>
  <c r="G171" i="6"/>
  <c r="F170" i="6"/>
  <c r="F89" i="6"/>
  <c r="G86" i="6"/>
  <c r="F45" i="19"/>
  <c r="G42" i="19"/>
  <c r="G138" i="19" l="1"/>
  <c r="G140" i="19"/>
  <c r="F140" i="19"/>
  <c r="G171" i="14"/>
  <c r="F10" i="14"/>
  <c r="G173" i="14"/>
  <c r="G120" i="14" s="1"/>
  <c r="F173" i="14"/>
  <c r="F120" i="14" s="1"/>
  <c r="G49" i="19"/>
  <c r="H47" i="19"/>
  <c r="G90" i="14"/>
  <c r="H87" i="14"/>
  <c r="G75" i="6"/>
  <c r="F83" i="6"/>
  <c r="F95" i="6" s="1"/>
  <c r="F39" i="19"/>
  <c r="F51" i="19" s="1"/>
  <c r="G31" i="19"/>
  <c r="G94" i="14"/>
  <c r="H92" i="14"/>
  <c r="F161" i="19"/>
  <c r="G126" i="19"/>
  <c r="G128" i="19"/>
  <c r="G75" i="19" s="1"/>
  <c r="E151" i="19"/>
  <c r="O17" i="12"/>
  <c r="P17" i="12" s="1"/>
  <c r="Q17" i="12" s="1"/>
  <c r="G45" i="19"/>
  <c r="H42" i="19"/>
  <c r="G89" i="6"/>
  <c r="H86" i="6"/>
  <c r="G172" i="6"/>
  <c r="G119" i="6" s="1"/>
  <c r="G170" i="6"/>
  <c r="F10" i="6"/>
  <c r="G160" i="19"/>
  <c r="H64" i="19"/>
  <c r="E9" i="24"/>
  <c r="E18" i="24" s="1"/>
  <c r="G76" i="14"/>
  <c r="F84" i="14"/>
  <c r="E26" i="24" s="1"/>
  <c r="E34" i="24" s="1"/>
  <c r="E36" i="24" s="1"/>
  <c r="G108" i="6"/>
  <c r="F9" i="6"/>
  <c r="AA17" i="12"/>
  <c r="AB17" i="12" s="1"/>
  <c r="AC17" i="12" s="1"/>
  <c r="AD17" i="12" s="1"/>
  <c r="AE17" i="12" s="1"/>
  <c r="E20" i="24"/>
  <c r="G109" i="14"/>
  <c r="F9" i="14"/>
  <c r="F128" i="19"/>
  <c r="F75" i="19" s="1"/>
  <c r="R16" i="12"/>
  <c r="J108" i="14"/>
  <c r="J158" i="14" s="1"/>
  <c r="J63" i="19"/>
  <c r="J113" i="19" s="1"/>
  <c r="AE16" i="12"/>
  <c r="F26" i="19" l="1"/>
  <c r="F25" i="19"/>
  <c r="F24" i="19"/>
  <c r="F23" i="19"/>
  <c r="F22" i="19"/>
  <c r="F70" i="6"/>
  <c r="F69" i="6"/>
  <c r="F68" i="6"/>
  <c r="F67" i="6"/>
  <c r="F66" i="6"/>
  <c r="H160" i="19"/>
  <c r="I64" i="19"/>
  <c r="G83" i="6"/>
  <c r="G95" i="6" s="1"/>
  <c r="H75" i="6"/>
  <c r="H171" i="14"/>
  <c r="G10" i="14"/>
  <c r="H173" i="14"/>
  <c r="H120" i="14" s="1"/>
  <c r="H109" i="14"/>
  <c r="G9" i="14"/>
  <c r="H108" i="6"/>
  <c r="G9" i="6"/>
  <c r="G84" i="14"/>
  <c r="G96" i="14" s="1"/>
  <c r="H76" i="14"/>
  <c r="F96" i="14"/>
  <c r="H172" i="6"/>
  <c r="H119" i="6" s="1"/>
  <c r="H170" i="6"/>
  <c r="G10" i="6"/>
  <c r="H89" i="6"/>
  <c r="I86" i="6"/>
  <c r="H45" i="19"/>
  <c r="I42" i="19"/>
  <c r="R17" i="12"/>
  <c r="E152" i="19"/>
  <c r="G161" i="19"/>
  <c r="H126" i="19"/>
  <c r="H128" i="19"/>
  <c r="H94" i="14"/>
  <c r="I92" i="14"/>
  <c r="H31" i="19"/>
  <c r="G39" i="19"/>
  <c r="G51" i="19" s="1"/>
  <c r="H90" i="14"/>
  <c r="I87" i="14"/>
  <c r="I47" i="19"/>
  <c r="H49" i="19"/>
  <c r="H138" i="19"/>
  <c r="H140" i="19"/>
  <c r="G26" i="19" l="1"/>
  <c r="G58" i="19" s="1"/>
  <c r="G71" i="19" s="1"/>
  <c r="G84" i="19" s="1"/>
  <c r="G24" i="19"/>
  <c r="G56" i="19" s="1"/>
  <c r="G69" i="19" s="1"/>
  <c r="G82" i="19" s="1"/>
  <c r="G22" i="19"/>
  <c r="G54" i="19" s="1"/>
  <c r="G67" i="19" s="1"/>
  <c r="G80" i="19" s="1"/>
  <c r="G25" i="19"/>
  <c r="G57" i="19" s="1"/>
  <c r="G70" i="19" s="1"/>
  <c r="G83" i="19" s="1"/>
  <c r="G23" i="19"/>
  <c r="G55" i="19" s="1"/>
  <c r="G68" i="19" s="1"/>
  <c r="G81" i="19" s="1"/>
  <c r="G71" i="14"/>
  <c r="G103" i="14" s="1"/>
  <c r="G116" i="14" s="1"/>
  <c r="G129" i="14" s="1"/>
  <c r="G70" i="14"/>
  <c r="G102" i="14" s="1"/>
  <c r="G115" i="14" s="1"/>
  <c r="G128" i="14" s="1"/>
  <c r="G69" i="14"/>
  <c r="G101" i="14" s="1"/>
  <c r="G114" i="14" s="1"/>
  <c r="G127" i="14" s="1"/>
  <c r="G68" i="14"/>
  <c r="G100" i="14" s="1"/>
  <c r="G113" i="14" s="1"/>
  <c r="G126" i="14" s="1"/>
  <c r="G67" i="14"/>
  <c r="G99" i="14" s="1"/>
  <c r="G112" i="14" s="1"/>
  <c r="G125" i="14" s="1"/>
  <c r="G70" i="6"/>
  <c r="G102" i="6" s="1"/>
  <c r="G115" i="6" s="1"/>
  <c r="G128" i="6" s="1"/>
  <c r="G69" i="6"/>
  <c r="G101" i="6" s="1"/>
  <c r="G114" i="6" s="1"/>
  <c r="G127" i="6" s="1"/>
  <c r="G68" i="6"/>
  <c r="G100" i="6" s="1"/>
  <c r="G113" i="6" s="1"/>
  <c r="G126" i="6" s="1"/>
  <c r="G67" i="6"/>
  <c r="G99" i="6" s="1"/>
  <c r="G112" i="6" s="1"/>
  <c r="G125" i="6" s="1"/>
  <c r="G66" i="6"/>
  <c r="G98" i="6" s="1"/>
  <c r="G111" i="6" s="1"/>
  <c r="G124" i="6" s="1"/>
  <c r="I90" i="14"/>
  <c r="J87" i="14"/>
  <c r="J90" i="14" s="1"/>
  <c r="I94" i="14"/>
  <c r="J92" i="14"/>
  <c r="J94" i="14" s="1"/>
  <c r="H75" i="19"/>
  <c r="E153" i="19"/>
  <c r="I45" i="19"/>
  <c r="J42" i="19"/>
  <c r="J45" i="19" s="1"/>
  <c r="I89" i="6"/>
  <c r="J86" i="6"/>
  <c r="J89" i="6" s="1"/>
  <c r="I76" i="14"/>
  <c r="H84" i="14"/>
  <c r="I171" i="14"/>
  <c r="H10" i="14"/>
  <c r="I173" i="14"/>
  <c r="I120" i="14" s="1"/>
  <c r="I75" i="6"/>
  <c r="H83" i="6"/>
  <c r="I160" i="19"/>
  <c r="J64" i="19"/>
  <c r="J160" i="19" s="1"/>
  <c r="F98" i="6"/>
  <c r="F111" i="6" s="1"/>
  <c r="F124" i="6" s="1"/>
  <c r="F23" i="6"/>
  <c r="F100" i="6"/>
  <c r="F113" i="6" s="1"/>
  <c r="F126" i="6" s="1"/>
  <c r="G25" i="6"/>
  <c r="F25" i="6"/>
  <c r="F102" i="6"/>
  <c r="F115" i="6" s="1"/>
  <c r="F128" i="6" s="1"/>
  <c r="F27" i="6"/>
  <c r="G27" i="6"/>
  <c r="F175" i="19"/>
  <c r="G175" i="19"/>
  <c r="F55" i="19"/>
  <c r="F68" i="19" s="1"/>
  <c r="F81" i="19" s="1"/>
  <c r="F177" i="19"/>
  <c r="F57" i="19"/>
  <c r="F70" i="19" s="1"/>
  <c r="F83" i="19" s="1"/>
  <c r="I138" i="19"/>
  <c r="I49" i="19"/>
  <c r="J47" i="19"/>
  <c r="J49" i="19" s="1"/>
  <c r="H96" i="14"/>
  <c r="H39" i="19"/>
  <c r="I31" i="19"/>
  <c r="H161" i="19"/>
  <c r="I126" i="19"/>
  <c r="H51" i="19"/>
  <c r="H95" i="6"/>
  <c r="I172" i="6"/>
  <c r="I119" i="6" s="1"/>
  <c r="I170" i="6"/>
  <c r="H10" i="6"/>
  <c r="F71" i="14"/>
  <c r="F70" i="14"/>
  <c r="F69" i="14"/>
  <c r="F68" i="14"/>
  <c r="F67" i="14"/>
  <c r="I108" i="6"/>
  <c r="H9" i="6"/>
  <c r="I109" i="14"/>
  <c r="H9" i="14"/>
  <c r="F99" i="6"/>
  <c r="F112" i="6" s="1"/>
  <c r="F125" i="6" s="1"/>
  <c r="F24" i="6"/>
  <c r="G24" i="6"/>
  <c r="F101" i="6"/>
  <c r="F114" i="6" s="1"/>
  <c r="F127" i="6" s="1"/>
  <c r="F26" i="6"/>
  <c r="F174" i="19"/>
  <c r="G174" i="19"/>
  <c r="F54" i="19"/>
  <c r="F67" i="19" s="1"/>
  <c r="F80" i="19" s="1"/>
  <c r="F176" i="19"/>
  <c r="G176" i="19"/>
  <c r="F56" i="19"/>
  <c r="F69" i="19" s="1"/>
  <c r="F82" i="19" s="1"/>
  <c r="F178" i="19"/>
  <c r="G178" i="19"/>
  <c r="F58" i="19"/>
  <c r="F71" i="19" s="1"/>
  <c r="F84" i="19" s="1"/>
  <c r="G193" i="19" l="1"/>
  <c r="G186" i="19"/>
  <c r="F186" i="19"/>
  <c r="F193" i="19"/>
  <c r="G191" i="19"/>
  <c r="G184" i="19"/>
  <c r="F184" i="19"/>
  <c r="F191" i="19"/>
  <c r="G189" i="19"/>
  <c r="G182" i="19"/>
  <c r="F182" i="19"/>
  <c r="F189" i="19"/>
  <c r="G39" i="6"/>
  <c r="G46" i="6" s="1"/>
  <c r="G32" i="6"/>
  <c r="F136" i="6"/>
  <c r="F147" i="6" s="1"/>
  <c r="F161" i="6" s="1"/>
  <c r="F175" i="6" s="1"/>
  <c r="J109" i="14"/>
  <c r="J9" i="14" s="1"/>
  <c r="I9" i="14"/>
  <c r="J108" i="6"/>
  <c r="J9" i="6" s="1"/>
  <c r="I9" i="6"/>
  <c r="F100" i="14"/>
  <c r="F113" i="14" s="1"/>
  <c r="F126" i="14" s="1"/>
  <c r="G25" i="14"/>
  <c r="F25" i="14"/>
  <c r="F102" i="14"/>
  <c r="F115" i="14" s="1"/>
  <c r="F128" i="14" s="1"/>
  <c r="H27" i="14"/>
  <c r="F27" i="14"/>
  <c r="G27" i="14"/>
  <c r="H26" i="19"/>
  <c r="H25" i="19"/>
  <c r="H24" i="19"/>
  <c r="H23" i="19"/>
  <c r="H22" i="19"/>
  <c r="I161" i="19"/>
  <c r="J126" i="19"/>
  <c r="J161" i="19" s="1"/>
  <c r="J31" i="19"/>
  <c r="J39" i="19" s="1"/>
  <c r="I39" i="19"/>
  <c r="H71" i="14"/>
  <c r="H103" i="14" s="1"/>
  <c r="H116" i="14" s="1"/>
  <c r="H129" i="14" s="1"/>
  <c r="H70" i="14"/>
  <c r="H102" i="14" s="1"/>
  <c r="H115" i="14" s="1"/>
  <c r="H128" i="14" s="1"/>
  <c r="H69" i="14"/>
  <c r="H101" i="14" s="1"/>
  <c r="H114" i="14" s="1"/>
  <c r="H127" i="14" s="1"/>
  <c r="H68" i="14"/>
  <c r="H100" i="14" s="1"/>
  <c r="H113" i="14" s="1"/>
  <c r="H126" i="14" s="1"/>
  <c r="H67" i="14"/>
  <c r="H99" i="14" s="1"/>
  <c r="H112" i="14" s="1"/>
  <c r="H125" i="14" s="1"/>
  <c r="J138" i="19"/>
  <c r="J140" i="19"/>
  <c r="F192" i="19"/>
  <c r="F185" i="19"/>
  <c r="F190" i="19"/>
  <c r="F183" i="19"/>
  <c r="F139" i="6"/>
  <c r="F150" i="6" s="1"/>
  <c r="F164" i="6" s="1"/>
  <c r="F178" i="6" s="1"/>
  <c r="F137" i="6"/>
  <c r="F148" i="6" s="1"/>
  <c r="F162" i="6" s="1"/>
  <c r="F176" i="6" s="1"/>
  <c r="F135" i="6"/>
  <c r="F146" i="6" s="1"/>
  <c r="F160" i="6" s="1"/>
  <c r="F174" i="6" s="1"/>
  <c r="I83" i="6"/>
  <c r="J75" i="6"/>
  <c r="J83" i="6" s="1"/>
  <c r="J95" i="6" s="1"/>
  <c r="J51" i="19"/>
  <c r="G136" i="6"/>
  <c r="G147" i="6" s="1"/>
  <c r="G161" i="6" s="1"/>
  <c r="G175" i="6" s="1"/>
  <c r="G138" i="6"/>
  <c r="G149" i="6" s="1"/>
  <c r="G163" i="6" s="1"/>
  <c r="G177" i="6" s="1"/>
  <c r="G136" i="14"/>
  <c r="G147" i="14" s="1"/>
  <c r="G161" i="14" s="1"/>
  <c r="G175" i="14" s="1"/>
  <c r="G138" i="14"/>
  <c r="G149" i="14" s="1"/>
  <c r="G163" i="14" s="1"/>
  <c r="G177" i="14" s="1"/>
  <c r="G140" i="14"/>
  <c r="G151" i="14" s="1"/>
  <c r="G165" i="14" s="1"/>
  <c r="G179" i="14" s="1"/>
  <c r="G94" i="19"/>
  <c r="G105" i="19" s="1"/>
  <c r="G119" i="19" s="1"/>
  <c r="G133" i="19" s="1"/>
  <c r="G145" i="19" s="1"/>
  <c r="G93" i="19"/>
  <c r="G104" i="19" s="1"/>
  <c r="G118" i="19" s="1"/>
  <c r="G132" i="19" s="1"/>
  <c r="G144" i="19" s="1"/>
  <c r="F95" i="19"/>
  <c r="F106" i="19" s="1"/>
  <c r="F120" i="19" s="1"/>
  <c r="F134" i="19" s="1"/>
  <c r="F146" i="19" s="1"/>
  <c r="F200" i="19" s="1"/>
  <c r="F93" i="19"/>
  <c r="F104" i="19" s="1"/>
  <c r="F118" i="19" s="1"/>
  <c r="F132" i="19" s="1"/>
  <c r="F144" i="19" s="1"/>
  <c r="H176" i="19"/>
  <c r="F91" i="19"/>
  <c r="F102" i="19" s="1"/>
  <c r="F116" i="19" s="1"/>
  <c r="F130" i="19" s="1"/>
  <c r="F142" i="19" s="1"/>
  <c r="F41" i="6"/>
  <c r="F48" i="6" s="1"/>
  <c r="F34" i="6"/>
  <c r="G26" i="6"/>
  <c r="F149" i="6"/>
  <c r="F163" i="6" s="1"/>
  <c r="F177" i="6" s="1"/>
  <c r="F138" i="6"/>
  <c r="F39" i="6"/>
  <c r="F46" i="6" s="1"/>
  <c r="F32" i="6"/>
  <c r="F99" i="14"/>
  <c r="F112" i="14" s="1"/>
  <c r="F125" i="14" s="1"/>
  <c r="F24" i="14"/>
  <c r="F101" i="14"/>
  <c r="F114" i="14" s="1"/>
  <c r="F127" i="14" s="1"/>
  <c r="H26" i="14"/>
  <c r="F26" i="14"/>
  <c r="G26" i="14"/>
  <c r="F103" i="14"/>
  <c r="F116" i="14" s="1"/>
  <c r="F129" i="14" s="1"/>
  <c r="H28" i="14"/>
  <c r="F28" i="14"/>
  <c r="G28" i="14"/>
  <c r="J172" i="6"/>
  <c r="J119" i="6" s="1"/>
  <c r="J170" i="6"/>
  <c r="J10" i="6" s="1"/>
  <c r="I10" i="6"/>
  <c r="H70" i="6"/>
  <c r="H69" i="6"/>
  <c r="H68" i="6"/>
  <c r="H67" i="6"/>
  <c r="H99" i="6" s="1"/>
  <c r="H112" i="6" s="1"/>
  <c r="H125" i="6" s="1"/>
  <c r="H66" i="6"/>
  <c r="H98" i="6" s="1"/>
  <c r="H111" i="6" s="1"/>
  <c r="H124" i="6" s="1"/>
  <c r="I128" i="19"/>
  <c r="I75" i="19" s="1"/>
  <c r="I140" i="19"/>
  <c r="F105" i="19"/>
  <c r="F119" i="19" s="1"/>
  <c r="F133" i="19" s="1"/>
  <c r="F145" i="19" s="1"/>
  <c r="F199" i="19" s="1"/>
  <c r="F94" i="19"/>
  <c r="G177" i="19"/>
  <c r="H177" i="19"/>
  <c r="F103" i="19"/>
  <c r="F117" i="19" s="1"/>
  <c r="F131" i="19" s="1"/>
  <c r="F143" i="19" s="1"/>
  <c r="F92" i="19"/>
  <c r="G190" i="19"/>
  <c r="G183" i="19"/>
  <c r="G42" i="6"/>
  <c r="G49" i="6" s="1"/>
  <c r="G35" i="6"/>
  <c r="F42" i="6"/>
  <c r="F49" i="6" s="1"/>
  <c r="F35" i="6"/>
  <c r="F33" i="6"/>
  <c r="F40" i="6"/>
  <c r="F47" i="6" s="1"/>
  <c r="G40" i="6"/>
  <c r="G47" i="6" s="1"/>
  <c r="G33" i="6"/>
  <c r="F31" i="6"/>
  <c r="F38" i="6"/>
  <c r="F45" i="6" s="1"/>
  <c r="J171" i="14"/>
  <c r="J10" i="14" s="1"/>
  <c r="I10" i="14"/>
  <c r="J173" i="14"/>
  <c r="J120" i="14" s="1"/>
  <c r="I84" i="14"/>
  <c r="I96" i="14" s="1"/>
  <c r="J76" i="14"/>
  <c r="J84" i="14" s="1"/>
  <c r="J96" i="14" s="1"/>
  <c r="I95" i="6"/>
  <c r="I51" i="19"/>
  <c r="E154" i="19"/>
  <c r="G146" i="6"/>
  <c r="G160" i="6" s="1"/>
  <c r="G174" i="6" s="1"/>
  <c r="G135" i="6"/>
  <c r="G148" i="6"/>
  <c r="G162" i="6" s="1"/>
  <c r="G176" i="6" s="1"/>
  <c r="G137" i="6"/>
  <c r="G150" i="6"/>
  <c r="G164" i="6" s="1"/>
  <c r="G178" i="6" s="1"/>
  <c r="G139" i="6"/>
  <c r="G148" i="14"/>
  <c r="G162" i="14" s="1"/>
  <c r="G176" i="14" s="1"/>
  <c r="G137" i="14"/>
  <c r="G150" i="14"/>
  <c r="G164" i="14" s="1"/>
  <c r="G178" i="14" s="1"/>
  <c r="G139" i="14"/>
  <c r="G103" i="19"/>
  <c r="G117" i="19" s="1"/>
  <c r="G131" i="19" s="1"/>
  <c r="G143" i="19" s="1"/>
  <c r="G92" i="19"/>
  <c r="G102" i="19"/>
  <c r="G116" i="19" s="1"/>
  <c r="G130" i="19" s="1"/>
  <c r="G142" i="19" s="1"/>
  <c r="G91" i="19"/>
  <c r="G106" i="19"/>
  <c r="G120" i="19" s="1"/>
  <c r="G134" i="19" s="1"/>
  <c r="G146" i="19" s="1"/>
  <c r="G95" i="19"/>
  <c r="F196" i="19" l="1"/>
  <c r="F150" i="19"/>
  <c r="I71" i="14"/>
  <c r="I70" i="14"/>
  <c r="I69" i="14"/>
  <c r="I101" i="14" s="1"/>
  <c r="I114" i="14" s="1"/>
  <c r="I127" i="14" s="1"/>
  <c r="I68" i="14"/>
  <c r="I100" i="14" s="1"/>
  <c r="I113" i="14" s="1"/>
  <c r="I126" i="14" s="1"/>
  <c r="I67" i="14"/>
  <c r="I99" i="14" s="1"/>
  <c r="I112" i="14" s="1"/>
  <c r="I125" i="14" s="1"/>
  <c r="F195" i="6"/>
  <c r="F186" i="6"/>
  <c r="J71" i="14"/>
  <c r="J103" i="14" s="1"/>
  <c r="J116" i="14" s="1"/>
  <c r="J129" i="14" s="1"/>
  <c r="J70" i="14"/>
  <c r="J102" i="14" s="1"/>
  <c r="J115" i="14" s="1"/>
  <c r="J128" i="14" s="1"/>
  <c r="J69" i="14"/>
  <c r="J101" i="14" s="1"/>
  <c r="J114" i="14" s="1"/>
  <c r="J127" i="14" s="1"/>
  <c r="J68" i="14"/>
  <c r="J100" i="14" s="1"/>
  <c r="J113" i="14" s="1"/>
  <c r="J126" i="14" s="1"/>
  <c r="J67" i="14"/>
  <c r="J99" i="14" s="1"/>
  <c r="J112" i="14" s="1"/>
  <c r="J125" i="14" s="1"/>
  <c r="F198" i="19"/>
  <c r="F152" i="19"/>
  <c r="J70" i="6"/>
  <c r="J102" i="6" s="1"/>
  <c r="J115" i="6" s="1"/>
  <c r="J128" i="6" s="1"/>
  <c r="J69" i="6"/>
  <c r="J101" i="6" s="1"/>
  <c r="J114" i="6" s="1"/>
  <c r="J127" i="6" s="1"/>
  <c r="J68" i="6"/>
  <c r="J100" i="6" s="1"/>
  <c r="J113" i="6" s="1"/>
  <c r="J126" i="6" s="1"/>
  <c r="J67" i="6"/>
  <c r="J99" i="6" s="1"/>
  <c r="J112" i="6" s="1"/>
  <c r="J125" i="6" s="1"/>
  <c r="J66" i="6"/>
  <c r="J98" i="6" s="1"/>
  <c r="J111" i="6" s="1"/>
  <c r="J124" i="6" s="1"/>
  <c r="F193" i="6"/>
  <c r="F184" i="6"/>
  <c r="F197" i="6"/>
  <c r="F188" i="6"/>
  <c r="F194" i="6"/>
  <c r="F185" i="6"/>
  <c r="F154" i="19"/>
  <c r="I26" i="19"/>
  <c r="I58" i="19" s="1"/>
  <c r="I71" i="19" s="1"/>
  <c r="I84" i="19" s="1"/>
  <c r="I25" i="19"/>
  <c r="I57" i="19" s="1"/>
  <c r="I70" i="19" s="1"/>
  <c r="I83" i="19" s="1"/>
  <c r="I23" i="19"/>
  <c r="I55" i="19" s="1"/>
  <c r="I68" i="19" s="1"/>
  <c r="I81" i="19" s="1"/>
  <c r="I22" i="19"/>
  <c r="I54" i="19" s="1"/>
  <c r="I67" i="19" s="1"/>
  <c r="I80" i="19" s="1"/>
  <c r="I24" i="19"/>
  <c r="F197" i="19"/>
  <c r="F151" i="19"/>
  <c r="G192" i="19"/>
  <c r="G185" i="19"/>
  <c r="H136" i="6"/>
  <c r="H147" i="6" s="1"/>
  <c r="H161" i="6" s="1"/>
  <c r="H175" i="6" s="1"/>
  <c r="H101" i="6"/>
  <c r="H114" i="6" s="1"/>
  <c r="H127" i="6" s="1"/>
  <c r="H26" i="6"/>
  <c r="H36" i="14"/>
  <c r="H43" i="14"/>
  <c r="H50" i="14" s="1"/>
  <c r="F151" i="14"/>
  <c r="F165" i="14" s="1"/>
  <c r="F179" i="14" s="1"/>
  <c r="F140" i="14"/>
  <c r="F34" i="14"/>
  <c r="F41" i="14"/>
  <c r="F48" i="14" s="1"/>
  <c r="F149" i="14"/>
  <c r="F163" i="14" s="1"/>
  <c r="F177" i="14" s="1"/>
  <c r="F138" i="14"/>
  <c r="F147" i="14"/>
  <c r="F161" i="14" s="1"/>
  <c r="F175" i="14" s="1"/>
  <c r="F136" i="14"/>
  <c r="F196" i="6"/>
  <c r="F187" i="6"/>
  <c r="H184" i="19"/>
  <c r="H191" i="19"/>
  <c r="F153" i="19"/>
  <c r="I70" i="6"/>
  <c r="I102" i="6" s="1"/>
  <c r="I115" i="6" s="1"/>
  <c r="I128" i="6" s="1"/>
  <c r="I69" i="6"/>
  <c r="I101" i="6" s="1"/>
  <c r="I114" i="6" s="1"/>
  <c r="I127" i="6" s="1"/>
  <c r="I68" i="6"/>
  <c r="I100" i="6" s="1"/>
  <c r="I113" i="6" s="1"/>
  <c r="I126" i="6" s="1"/>
  <c r="I67" i="6"/>
  <c r="I99" i="6" s="1"/>
  <c r="I112" i="6" s="1"/>
  <c r="I125" i="6" s="1"/>
  <c r="I66" i="6"/>
  <c r="I98" i="6" s="1"/>
  <c r="I111" i="6" s="1"/>
  <c r="I124" i="6" s="1"/>
  <c r="H192" i="19"/>
  <c r="H185" i="19"/>
  <c r="H146" i="6"/>
  <c r="H160" i="6" s="1"/>
  <c r="H174" i="6" s="1"/>
  <c r="H135" i="6"/>
  <c r="H100" i="6"/>
  <c r="H113" i="6" s="1"/>
  <c r="H126" i="6" s="1"/>
  <c r="H25" i="6"/>
  <c r="H102" i="6"/>
  <c r="H115" i="6" s="1"/>
  <c r="H128" i="6" s="1"/>
  <c r="J27" i="6"/>
  <c r="H27" i="6"/>
  <c r="I27" i="6"/>
  <c r="G43" i="14"/>
  <c r="G50" i="14" s="1"/>
  <c r="G36" i="14"/>
  <c r="F36" i="14"/>
  <c r="F43" i="14"/>
  <c r="F50" i="14" s="1"/>
  <c r="G41" i="14"/>
  <c r="G48" i="14" s="1"/>
  <c r="G34" i="14"/>
  <c r="H34" i="14"/>
  <c r="H41" i="14"/>
  <c r="H48" i="14" s="1"/>
  <c r="F32" i="14"/>
  <c r="F39" i="14"/>
  <c r="F46" i="14" s="1"/>
  <c r="G41" i="6"/>
  <c r="G48" i="6" s="1"/>
  <c r="G34" i="6"/>
  <c r="J26" i="19"/>
  <c r="J58" i="19" s="1"/>
  <c r="J71" i="19" s="1"/>
  <c r="J25" i="19"/>
  <c r="J57" i="19" s="1"/>
  <c r="J70" i="19" s="1"/>
  <c r="J24" i="19"/>
  <c r="J56" i="19" s="1"/>
  <c r="J69" i="19" s="1"/>
  <c r="J23" i="19"/>
  <c r="J55" i="19" s="1"/>
  <c r="J68" i="19" s="1"/>
  <c r="J22" i="19"/>
  <c r="J54" i="19" s="1"/>
  <c r="J67" i="19" s="1"/>
  <c r="H136" i="14"/>
  <c r="H147" i="14" s="1"/>
  <c r="H161" i="14" s="1"/>
  <c r="H175" i="14" s="1"/>
  <c r="H138" i="14"/>
  <c r="H149" i="14" s="1"/>
  <c r="H163" i="14" s="1"/>
  <c r="H177" i="14" s="1"/>
  <c r="H140" i="14"/>
  <c r="H151" i="14" s="1"/>
  <c r="H165" i="14" s="1"/>
  <c r="H179" i="14" s="1"/>
  <c r="H54" i="19"/>
  <c r="H67" i="19" s="1"/>
  <c r="H80" i="19" s="1"/>
  <c r="H174" i="19"/>
  <c r="I174" i="19"/>
  <c r="J174" i="19"/>
  <c r="H56" i="19"/>
  <c r="H69" i="19" s="1"/>
  <c r="H82" i="19" s="1"/>
  <c r="J176" i="19"/>
  <c r="H58" i="19"/>
  <c r="H71" i="19" s="1"/>
  <c r="H84" i="19" s="1"/>
  <c r="H178" i="19"/>
  <c r="I178" i="19"/>
  <c r="J178" i="19"/>
  <c r="H42" i="14"/>
  <c r="H49" i="14" s="1"/>
  <c r="H35" i="14"/>
  <c r="F139" i="14"/>
  <c r="F150" i="14" s="1"/>
  <c r="F164" i="14" s="1"/>
  <c r="F178" i="14" s="1"/>
  <c r="G40" i="14"/>
  <c r="G47" i="14" s="1"/>
  <c r="G33" i="14"/>
  <c r="H137" i="14"/>
  <c r="H148" i="14" s="1"/>
  <c r="H162" i="14" s="1"/>
  <c r="H176" i="14" s="1"/>
  <c r="H139" i="14"/>
  <c r="H150" i="14" s="1"/>
  <c r="H164" i="14" s="1"/>
  <c r="H178" i="14" s="1"/>
  <c r="J128" i="19"/>
  <c r="J75" i="19" s="1"/>
  <c r="H55" i="19"/>
  <c r="H68" i="19" s="1"/>
  <c r="H81" i="19" s="1"/>
  <c r="H175" i="19"/>
  <c r="J175" i="19"/>
  <c r="I175" i="19"/>
  <c r="H57" i="19"/>
  <c r="H70" i="19" s="1"/>
  <c r="H83" i="19" s="1"/>
  <c r="J177" i="19"/>
  <c r="I177" i="19"/>
  <c r="G42" i="14"/>
  <c r="G49" i="14" s="1"/>
  <c r="G35" i="14"/>
  <c r="F42" i="14"/>
  <c r="F49" i="14" s="1"/>
  <c r="F35" i="14"/>
  <c r="J27" i="14"/>
  <c r="F40" i="14"/>
  <c r="F47" i="14" s="1"/>
  <c r="F33" i="14"/>
  <c r="F148" i="14"/>
  <c r="F162" i="14" s="1"/>
  <c r="F176" i="14" s="1"/>
  <c r="F137" i="14"/>
  <c r="F197" i="14" l="1"/>
  <c r="F187" i="14"/>
  <c r="J42" i="14"/>
  <c r="J49" i="14" s="1"/>
  <c r="J35" i="14"/>
  <c r="J192" i="19"/>
  <c r="J185" i="19"/>
  <c r="I190" i="19"/>
  <c r="I183" i="19"/>
  <c r="H190" i="19"/>
  <c r="H183" i="19"/>
  <c r="I193" i="19"/>
  <c r="I186" i="19"/>
  <c r="H106" i="19"/>
  <c r="H120" i="19" s="1"/>
  <c r="H134" i="19" s="1"/>
  <c r="H146" i="19" s="1"/>
  <c r="H95" i="19"/>
  <c r="H104" i="19"/>
  <c r="H118" i="19" s="1"/>
  <c r="H132" i="19" s="1"/>
  <c r="H144" i="19" s="1"/>
  <c r="H93" i="19"/>
  <c r="I189" i="19"/>
  <c r="I182" i="19"/>
  <c r="H102" i="19"/>
  <c r="H116" i="19" s="1"/>
  <c r="H130" i="19" s="1"/>
  <c r="H142" i="19" s="1"/>
  <c r="H91" i="19"/>
  <c r="J81" i="19"/>
  <c r="J83" i="19"/>
  <c r="I42" i="6"/>
  <c r="I49" i="6" s="1"/>
  <c r="I35" i="6"/>
  <c r="J42" i="6"/>
  <c r="J49" i="6" s="1"/>
  <c r="J35" i="6"/>
  <c r="H33" i="6"/>
  <c r="H40" i="6"/>
  <c r="H47" i="6" s="1"/>
  <c r="I146" i="6"/>
  <c r="I160" i="6" s="1"/>
  <c r="I174" i="6" s="1"/>
  <c r="I135" i="6"/>
  <c r="I148" i="6"/>
  <c r="I162" i="6" s="1"/>
  <c r="I176" i="6" s="1"/>
  <c r="I137" i="6"/>
  <c r="I150" i="6"/>
  <c r="I164" i="6" s="1"/>
  <c r="I178" i="6" s="1"/>
  <c r="I139" i="6"/>
  <c r="G187" i="6"/>
  <c r="F15" i="6"/>
  <c r="H41" i="6"/>
  <c r="H48" i="6" s="1"/>
  <c r="H34" i="6"/>
  <c r="H149" i="6"/>
  <c r="H163" i="6" s="1"/>
  <c r="H177" i="6" s="1"/>
  <c r="H138" i="6"/>
  <c r="I102" i="19"/>
  <c r="I116" i="19" s="1"/>
  <c r="I130" i="19" s="1"/>
  <c r="I142" i="19" s="1"/>
  <c r="I91" i="19"/>
  <c r="I105" i="19"/>
  <c r="I119" i="19" s="1"/>
  <c r="I133" i="19" s="1"/>
  <c r="I145" i="19" s="1"/>
  <c r="I94" i="19"/>
  <c r="F167" i="19"/>
  <c r="G154" i="19"/>
  <c r="J147" i="6"/>
  <c r="J161" i="6" s="1"/>
  <c r="J175" i="6" s="1"/>
  <c r="J136" i="6"/>
  <c r="J149" i="6"/>
  <c r="J163" i="6" s="1"/>
  <c r="J177" i="6" s="1"/>
  <c r="J138" i="6"/>
  <c r="F165" i="19"/>
  <c r="G152" i="19"/>
  <c r="J147" i="14"/>
  <c r="J161" i="14" s="1"/>
  <c r="J175" i="14" s="1"/>
  <c r="J136" i="14"/>
  <c r="J149" i="14"/>
  <c r="J163" i="14" s="1"/>
  <c r="J177" i="14" s="1"/>
  <c r="J138" i="14"/>
  <c r="J151" i="14"/>
  <c r="J165" i="14" s="1"/>
  <c r="J179" i="14" s="1"/>
  <c r="J140" i="14"/>
  <c r="I148" i="14"/>
  <c r="I162" i="14" s="1"/>
  <c r="I176" i="14" s="1"/>
  <c r="I137" i="14"/>
  <c r="I102" i="14"/>
  <c r="I115" i="14" s="1"/>
  <c r="I128" i="14" s="1"/>
  <c r="I27" i="14"/>
  <c r="F163" i="19"/>
  <c r="G150" i="19"/>
  <c r="F195" i="14"/>
  <c r="F185" i="14"/>
  <c r="I185" i="19"/>
  <c r="I192" i="19"/>
  <c r="H105" i="19"/>
  <c r="H119" i="19" s="1"/>
  <c r="H133" i="19" s="1"/>
  <c r="H145" i="19" s="1"/>
  <c r="H94" i="19"/>
  <c r="J190" i="19"/>
  <c r="J183" i="19"/>
  <c r="H103" i="19"/>
  <c r="H117" i="19" s="1"/>
  <c r="H131" i="19" s="1"/>
  <c r="H143" i="19" s="1"/>
  <c r="H92" i="19"/>
  <c r="J186" i="19"/>
  <c r="J193" i="19"/>
  <c r="H186" i="19"/>
  <c r="H193" i="19"/>
  <c r="J184" i="19"/>
  <c r="J191" i="19"/>
  <c r="J182" i="19"/>
  <c r="J189" i="19"/>
  <c r="H182" i="19"/>
  <c r="H189" i="19"/>
  <c r="J80" i="19"/>
  <c r="J82" i="19"/>
  <c r="J84" i="19"/>
  <c r="H42" i="6"/>
  <c r="H49" i="6" s="1"/>
  <c r="H35" i="6"/>
  <c r="H139" i="6"/>
  <c r="H150" i="6" s="1"/>
  <c r="H164" i="6" s="1"/>
  <c r="H178" i="6" s="1"/>
  <c r="H137" i="6"/>
  <c r="H148" i="6" s="1"/>
  <c r="H162" i="6" s="1"/>
  <c r="H176" i="6" s="1"/>
  <c r="I136" i="6"/>
  <c r="I147" i="6" s="1"/>
  <c r="I161" i="6" s="1"/>
  <c r="I175" i="6" s="1"/>
  <c r="I138" i="6"/>
  <c r="I149" i="6" s="1"/>
  <c r="I163" i="6" s="1"/>
  <c r="I177" i="6" s="1"/>
  <c r="F166" i="19"/>
  <c r="G153" i="19"/>
  <c r="F194" i="14"/>
  <c r="F184" i="14"/>
  <c r="F196" i="14"/>
  <c r="F186" i="14"/>
  <c r="F198" i="14"/>
  <c r="F188" i="14"/>
  <c r="I26" i="6"/>
  <c r="F164" i="19"/>
  <c r="G151" i="19"/>
  <c r="I56" i="19"/>
  <c r="I69" i="19" s="1"/>
  <c r="I82" i="19" s="1"/>
  <c r="I176" i="19"/>
  <c r="I103" i="19"/>
  <c r="I117" i="19" s="1"/>
  <c r="I131" i="19" s="1"/>
  <c r="I143" i="19" s="1"/>
  <c r="I92" i="19"/>
  <c r="I106" i="19"/>
  <c r="I120" i="19" s="1"/>
  <c r="I134" i="19" s="1"/>
  <c r="I146" i="19" s="1"/>
  <c r="I95" i="19"/>
  <c r="G185" i="6"/>
  <c r="F13" i="6"/>
  <c r="G188" i="6"/>
  <c r="F16" i="6"/>
  <c r="G184" i="6"/>
  <c r="H184" i="6" s="1"/>
  <c r="I184" i="6" s="1"/>
  <c r="J184" i="6" s="1"/>
  <c r="F12" i="6"/>
  <c r="J146" i="6"/>
  <c r="J160" i="6" s="1"/>
  <c r="J174" i="6" s="1"/>
  <c r="J135" i="6"/>
  <c r="J148" i="6"/>
  <c r="J162" i="6" s="1"/>
  <c r="J176" i="6" s="1"/>
  <c r="J137" i="6"/>
  <c r="J150" i="6"/>
  <c r="J164" i="6" s="1"/>
  <c r="J178" i="6" s="1"/>
  <c r="J139" i="6"/>
  <c r="J148" i="14"/>
  <c r="J162" i="14" s="1"/>
  <c r="J176" i="14" s="1"/>
  <c r="J137" i="14"/>
  <c r="J150" i="14"/>
  <c r="J164" i="14" s="1"/>
  <c r="J178" i="14" s="1"/>
  <c r="J139" i="14"/>
  <c r="G186" i="6"/>
  <c r="F14" i="6"/>
  <c r="I147" i="14"/>
  <c r="I161" i="14" s="1"/>
  <c r="I175" i="14" s="1"/>
  <c r="I136" i="14"/>
  <c r="I149" i="14"/>
  <c r="I163" i="14" s="1"/>
  <c r="I177" i="14" s="1"/>
  <c r="I138" i="14"/>
  <c r="I103" i="14"/>
  <c r="I116" i="14" s="1"/>
  <c r="I129" i="14" s="1"/>
  <c r="J28" i="14"/>
  <c r="I28" i="14"/>
  <c r="I151" i="14" l="1"/>
  <c r="I165" i="14" s="1"/>
  <c r="I179" i="14" s="1"/>
  <c r="I140" i="14"/>
  <c r="H188" i="6"/>
  <c r="G16" i="6"/>
  <c r="I104" i="19"/>
  <c r="I118" i="19" s="1"/>
  <c r="I132" i="19" s="1"/>
  <c r="I144" i="19" s="1"/>
  <c r="I93" i="19"/>
  <c r="J36" i="14"/>
  <c r="J43" i="14"/>
  <c r="J50" i="14" s="1"/>
  <c r="I191" i="19"/>
  <c r="I184" i="19"/>
  <c r="H151" i="19"/>
  <c r="G164" i="19"/>
  <c r="I41" i="6"/>
  <c r="I48" i="6" s="1"/>
  <c r="I34" i="6"/>
  <c r="J104" i="19"/>
  <c r="J118" i="19" s="1"/>
  <c r="J132" i="19" s="1"/>
  <c r="J144" i="19" s="1"/>
  <c r="J93" i="19"/>
  <c r="G185" i="14"/>
  <c r="F14" i="14"/>
  <c r="H150" i="19"/>
  <c r="G163" i="19"/>
  <c r="I42" i="14"/>
  <c r="I49" i="14" s="1"/>
  <c r="I35" i="14"/>
  <c r="H152" i="19"/>
  <c r="G165" i="19"/>
  <c r="H154" i="19"/>
  <c r="G167" i="19"/>
  <c r="J105" i="19"/>
  <c r="J119" i="19" s="1"/>
  <c r="J133" i="19" s="1"/>
  <c r="J145" i="19" s="1"/>
  <c r="J94" i="19"/>
  <c r="G187" i="14"/>
  <c r="F16" i="14"/>
  <c r="I43" i="14"/>
  <c r="I50" i="14" s="1"/>
  <c r="I36" i="14"/>
  <c r="H186" i="6"/>
  <c r="G14" i="6"/>
  <c r="H185" i="6"/>
  <c r="I185" i="6" s="1"/>
  <c r="J185" i="6" s="1"/>
  <c r="G13" i="6"/>
  <c r="G188" i="14"/>
  <c r="F17" i="14"/>
  <c r="G186" i="14"/>
  <c r="F15" i="14"/>
  <c r="G184" i="14"/>
  <c r="H184" i="14" s="1"/>
  <c r="I184" i="14" s="1"/>
  <c r="J184" i="14" s="1"/>
  <c r="F13" i="14"/>
  <c r="G166" i="19"/>
  <c r="H153" i="19"/>
  <c r="J106" i="19"/>
  <c r="J120" i="19" s="1"/>
  <c r="J134" i="19" s="1"/>
  <c r="J146" i="19" s="1"/>
  <c r="J95" i="19"/>
  <c r="J102" i="19"/>
  <c r="J116" i="19" s="1"/>
  <c r="J130" i="19" s="1"/>
  <c r="J142" i="19" s="1"/>
  <c r="J91" i="19"/>
  <c r="I150" i="14"/>
  <c r="I164" i="14" s="1"/>
  <c r="I178" i="14" s="1"/>
  <c r="I139" i="14"/>
  <c r="H187" i="6"/>
  <c r="G15" i="6"/>
  <c r="J103" i="19"/>
  <c r="J117" i="19" s="1"/>
  <c r="J131" i="19" s="1"/>
  <c r="J143" i="19" s="1"/>
  <c r="J92" i="19"/>
  <c r="H188" i="14" l="1"/>
  <c r="G17" i="14"/>
  <c r="H166" i="19"/>
  <c r="I153" i="19"/>
  <c r="I187" i="6"/>
  <c r="H15" i="6"/>
  <c r="H186" i="14"/>
  <c r="G15" i="14"/>
  <c r="I186" i="6"/>
  <c r="J186" i="6" s="1"/>
  <c r="H14" i="6"/>
  <c r="H187" i="14"/>
  <c r="G16" i="14"/>
  <c r="H167" i="19"/>
  <c r="I154" i="19"/>
  <c r="H165" i="19"/>
  <c r="I152" i="19"/>
  <c r="H163" i="19"/>
  <c r="I150" i="19"/>
  <c r="H185" i="14"/>
  <c r="I185" i="14" s="1"/>
  <c r="J185" i="14" s="1"/>
  <c r="G14" i="14"/>
  <c r="H164" i="19"/>
  <c r="I151" i="19"/>
  <c r="I188" i="6"/>
  <c r="H16" i="6"/>
  <c r="I164" i="19" l="1"/>
  <c r="J151" i="19"/>
  <c r="J164" i="19" s="1"/>
  <c r="J150" i="19"/>
  <c r="J163" i="19" s="1"/>
  <c r="I163" i="19"/>
  <c r="J152" i="19"/>
  <c r="J165" i="19" s="1"/>
  <c r="I165" i="19"/>
  <c r="J154" i="19"/>
  <c r="J167" i="19" s="1"/>
  <c r="I167" i="19"/>
  <c r="I166" i="19"/>
  <c r="J153" i="19"/>
  <c r="J166" i="19" s="1"/>
  <c r="J188" i="6"/>
  <c r="J16" i="6" s="1"/>
  <c r="I16" i="6"/>
  <c r="I187" i="14"/>
  <c r="H16" i="14"/>
  <c r="I186" i="14"/>
  <c r="J186" i="14" s="1"/>
  <c r="H15" i="14"/>
  <c r="J187" i="6"/>
  <c r="I15" i="6"/>
  <c r="I188" i="14"/>
  <c r="H17" i="14"/>
  <c r="J188" i="14" l="1"/>
  <c r="J17" i="14" s="1"/>
  <c r="I17" i="14"/>
  <c r="J187" i="14"/>
  <c r="I16" i="14"/>
</calcChain>
</file>

<file path=xl/comments1.xml><?xml version="1.0" encoding="utf-8"?>
<comments xmlns="http://schemas.openxmlformats.org/spreadsheetml/2006/main">
  <authors>
    <author>Krisha</author>
  </authors>
  <commentList>
    <comment ref="F4" authorId="0" shapeId="0">
      <text>
        <r>
          <rPr>
            <b/>
            <sz val="9"/>
            <color indexed="81"/>
            <rFont val="Tahoma"/>
            <family val="2"/>
          </rPr>
          <t>Krisha:</t>
        </r>
        <r>
          <rPr>
            <sz val="9"/>
            <color indexed="81"/>
            <rFont val="Tahoma"/>
            <family val="2"/>
          </rPr>
          <t xml:space="preserve">
Need to ensure there is this numbering in the toolkit - to help the user link it to this tool</t>
        </r>
      </text>
    </comment>
  </commentList>
</comments>
</file>

<file path=xl/sharedStrings.xml><?xml version="1.0" encoding="utf-8"?>
<sst xmlns="http://schemas.openxmlformats.org/spreadsheetml/2006/main" count="1002" uniqueCount="330">
  <si>
    <t xml:space="preserve">Capital costs </t>
  </si>
  <si>
    <t xml:space="preserve">Number of trucks </t>
  </si>
  <si>
    <t>Land (Sq feet)</t>
  </si>
  <si>
    <t>Cost per sq feet (INR)</t>
  </si>
  <si>
    <t>Total investment required in land (INR)</t>
  </si>
  <si>
    <t>Safety gear (Number of people)</t>
  </si>
  <si>
    <t>Uniforms (Number of people)</t>
  </si>
  <si>
    <t xml:space="preserve">Operating costs </t>
  </si>
  <si>
    <t>Number of drivers</t>
  </si>
  <si>
    <t>Number of collectors</t>
  </si>
  <si>
    <t xml:space="preserve">Number of plant operators </t>
  </si>
  <si>
    <t xml:space="preserve">Number of security  personnel </t>
  </si>
  <si>
    <t xml:space="preserve">Number of cleaning personnel </t>
  </si>
  <si>
    <t xml:space="preserve">Number of process engineer </t>
  </si>
  <si>
    <t>Office building rent</t>
  </si>
  <si>
    <t>Electricity and water</t>
  </si>
  <si>
    <t>Maintenance provision (reserves)</t>
  </si>
  <si>
    <t>Insurance</t>
  </si>
  <si>
    <t>Fuel</t>
  </si>
  <si>
    <t>Number of trips p.a.</t>
  </si>
  <si>
    <t>Years</t>
  </si>
  <si>
    <t>Suction emptier truck</t>
  </si>
  <si>
    <t>Safety gear</t>
  </si>
  <si>
    <t>Uniforms</t>
  </si>
  <si>
    <t>Total</t>
  </si>
  <si>
    <t>Legal costs</t>
  </si>
  <si>
    <t>Miscellaneous costs</t>
  </si>
  <si>
    <t>Units</t>
  </si>
  <si>
    <t>INR (Lakhs)</t>
  </si>
  <si>
    <t>Fixed annual salary costs</t>
  </si>
  <si>
    <t>Medical expenses/Employee Insurance</t>
  </si>
  <si>
    <t>Telephone</t>
  </si>
  <si>
    <t>Annual maintenance provision for vehicle and plant</t>
  </si>
  <si>
    <t>Insurance (% of value at beginning of year)</t>
  </si>
  <si>
    <t>Misc. other costs (office supplies etc.)</t>
  </si>
  <si>
    <t>Travel</t>
  </si>
  <si>
    <t>Training</t>
  </si>
  <si>
    <t xml:space="preserve">Investment and Finance Cash Flow </t>
  </si>
  <si>
    <t xml:space="preserve">Principal payment </t>
  </si>
  <si>
    <t xml:space="preserve">Interest </t>
  </si>
  <si>
    <t xml:space="preserve">Annual net profit </t>
  </si>
  <si>
    <t>Expected rate of return</t>
  </si>
  <si>
    <t>WACC</t>
  </si>
  <si>
    <t>-</t>
  </si>
  <si>
    <t>Business Registration</t>
  </si>
  <si>
    <t>Operating cost per month</t>
  </si>
  <si>
    <t>Number of Households</t>
  </si>
  <si>
    <t>Cost of 1 truck (INR, Lakhs)</t>
  </si>
  <si>
    <t>Total investment required in trucks (INR,Lakhs)</t>
  </si>
  <si>
    <t>Cost of safety gear for one person (INR,Lakhs)</t>
  </si>
  <si>
    <t>Total investment required in safety gear (INR,Lakhs)</t>
  </si>
  <si>
    <t>Total investment required in uniforms (INR,Lakhs)</t>
  </si>
  <si>
    <t>Cost of uniforms for one person (INR,Lakhs)</t>
  </si>
  <si>
    <t>Fence (INR, Lakhs)</t>
  </si>
  <si>
    <t>Storage area and office area construction (INR, Lakhs)</t>
  </si>
  <si>
    <t>Office furniture and equipment (INR, Lakhs)</t>
  </si>
  <si>
    <t>Legals costs (INR, Lakhs)</t>
  </si>
  <si>
    <t>Registration costs (INR, Lakhs)</t>
  </si>
  <si>
    <t>Miscellaneous (INR, Lakhs)</t>
  </si>
  <si>
    <t>Total (INR, Lakhs)</t>
  </si>
  <si>
    <t>Conversion to Lakhs</t>
  </si>
  <si>
    <t>per truck (INR, Lakhs)</t>
  </si>
  <si>
    <t>Total reserves for truck (INR, Lakhs)</t>
  </si>
  <si>
    <t>per plant (INR, Lakhs)</t>
  </si>
  <si>
    <t>Total reserves for plant (INR, Lakhs)</t>
  </si>
  <si>
    <t>Total of Maintainence (INR, Lakhs)</t>
  </si>
  <si>
    <t>Total insurance for truck (INR, Lakhs)</t>
  </si>
  <si>
    <t>Total insurance for plant (INR, Lakhs)</t>
  </si>
  <si>
    <t>Total of insurance (INR, Lakhs)</t>
  </si>
  <si>
    <t>Marketing (INR, Lakhs)</t>
  </si>
  <si>
    <t>Training (INR, Lakhs)</t>
  </si>
  <si>
    <t>Travel (INR, Lakhs)</t>
  </si>
  <si>
    <t>Collection Trips (ANNUAL)</t>
  </si>
  <si>
    <t>Number of trips</t>
  </si>
  <si>
    <t>%age breakdown by trip length</t>
  </si>
  <si>
    <t>Length (kms)</t>
  </si>
  <si>
    <t>Fuel Efficiency (Km/ltr)</t>
  </si>
  <si>
    <t>Cost of Diesel (Rs/ltr)</t>
  </si>
  <si>
    <t>Cost/Km (Rs/Km)</t>
  </si>
  <si>
    <t>Cost (Rs)</t>
  </si>
  <si>
    <t>Total Cost (Rs)</t>
  </si>
  <si>
    <t>8 Kms RT</t>
  </si>
  <si>
    <t>10 Kms RT</t>
  </si>
  <si>
    <t>15 Kms RT</t>
  </si>
  <si>
    <t>Miscellaneous Office expenditures (INR, Lakhs)</t>
  </si>
  <si>
    <t>Fuel cost calculations</t>
  </si>
  <si>
    <t>Number of months</t>
  </si>
  <si>
    <t>Total annual salary paid to drivers (INR,Lakhs)</t>
  </si>
  <si>
    <t>Monthly salary of one driver (INR, Lakhs)</t>
  </si>
  <si>
    <t>Monthly salary of one collector (INR, Lakhs)</t>
  </si>
  <si>
    <t>Total annual salary paid to collectors (INR, Lakhs)</t>
  </si>
  <si>
    <t>Monthly health insurance for 1 employee (INR, Lakhs)</t>
  </si>
  <si>
    <t>Total annual investment in health insurance (INR, Lakhs)</t>
  </si>
  <si>
    <t>Monthly salary of one operator (INR, Lakhs)</t>
  </si>
  <si>
    <t>Total annual salary paid to operators (INR, Lakhs)</t>
  </si>
  <si>
    <t>Monthly salary of one security personnel (INR, Lakhs)</t>
  </si>
  <si>
    <t>Total annual salary paid to security personnel (INR, Lakhs)</t>
  </si>
  <si>
    <t>Monthly salary of one cleaning personnel (INR, Lakhs)</t>
  </si>
  <si>
    <t>Total annual salary paid to cleaning personnel (INR, Lakhs)</t>
  </si>
  <si>
    <t>Monthly salary of one process engineer (INR, Lakhs)</t>
  </si>
  <si>
    <t>Total annual salary paid to process engineer (INR, Lakhs)</t>
  </si>
  <si>
    <t>Annual Office building rent (INR, Lakhs)</t>
  </si>
  <si>
    <t>Annual Phone (INR, Lakhs)</t>
  </si>
  <si>
    <t>Annual Electricity and water (INR, Lakhs)</t>
  </si>
  <si>
    <t>Equity downpayment on capital assets</t>
  </si>
  <si>
    <t>Interest</t>
  </si>
  <si>
    <t>Propotion</t>
  </si>
  <si>
    <t>Equity</t>
  </si>
  <si>
    <t>Debt</t>
  </si>
  <si>
    <t>Cost</t>
  </si>
  <si>
    <t>Share of debt</t>
  </si>
  <si>
    <t>Number of years</t>
  </si>
  <si>
    <t>Total investment</t>
  </si>
  <si>
    <t xml:space="preserve"> </t>
  </si>
  <si>
    <t>Total operating cost</t>
  </si>
  <si>
    <t>Revenue from emptying</t>
  </si>
  <si>
    <t>Operating profit</t>
  </si>
  <si>
    <t>Year 1</t>
  </si>
  <si>
    <t>Year 2</t>
  </si>
  <si>
    <t>Year 3</t>
  </si>
  <si>
    <t>Year 4</t>
  </si>
  <si>
    <t>Year 5</t>
  </si>
  <si>
    <t>EBITDA</t>
  </si>
  <si>
    <t>Net income</t>
  </si>
  <si>
    <t>Conveyance of fecal sludge</t>
  </si>
  <si>
    <t>Treatment of septage</t>
  </si>
  <si>
    <t>Capital cost</t>
  </si>
  <si>
    <t>Cost of one sludge drying bed (INR, lakhs)</t>
  </si>
  <si>
    <t>Total investment required (INR, lakhs)</t>
  </si>
  <si>
    <t>Total investment required (INR, lakh)</t>
  </si>
  <si>
    <t>Total area required (sq.km.)</t>
  </si>
  <si>
    <t>Cost of land (INR, lakh/ sq. km.)</t>
  </si>
  <si>
    <t>Cost of setting up offices</t>
  </si>
  <si>
    <t>Total capital cost</t>
  </si>
  <si>
    <t>Number of staff required</t>
  </si>
  <si>
    <t>Monthly staff salary (INR, lakh)</t>
  </si>
  <si>
    <t>Total Annual salary (INR, lakh)</t>
  </si>
  <si>
    <t>Misc. expenses at treatment site (INR, lakh)</t>
  </si>
  <si>
    <t>Total O&amp;M cost</t>
  </si>
  <si>
    <t>Opearting costs</t>
  </si>
  <si>
    <t>Capital costs: Conveyance</t>
  </si>
  <si>
    <t>Variable operating costs: Conveyance</t>
  </si>
  <si>
    <t>Operating costs: SDB</t>
  </si>
  <si>
    <t>Sludge drying beds</t>
  </si>
  <si>
    <t>Total (INR, lakh)</t>
  </si>
  <si>
    <t>Inflation rate</t>
  </si>
  <si>
    <t>Scenario</t>
  </si>
  <si>
    <t>Scenario 1, NPV=0, at Y=1</t>
  </si>
  <si>
    <t>Scenario 2, NPV=0, at Y=2</t>
  </si>
  <si>
    <t>Scenario 3, NPV=0, at Y=3</t>
  </si>
  <si>
    <t>Scenario 4, NPV=0, at Y=4</t>
  </si>
  <si>
    <t>Scenario 5, NPV=0, at Y=5</t>
  </si>
  <si>
    <t>Contract length</t>
  </si>
  <si>
    <t>1 year</t>
  </si>
  <si>
    <t>2 year</t>
  </si>
  <si>
    <t>3 year</t>
  </si>
  <si>
    <t>4 year</t>
  </si>
  <si>
    <t>5 year</t>
  </si>
  <si>
    <t>Tax rate</t>
  </si>
  <si>
    <t>Rate of depreciation</t>
  </si>
  <si>
    <t xml:space="preserve">Net Present Value (NPV) of cash flows </t>
  </si>
  <si>
    <t>Book Value of Debt</t>
  </si>
  <si>
    <t>Cash flow available before debt paydown</t>
  </si>
  <si>
    <t>Depreciation</t>
  </si>
  <si>
    <t>Profit Before Tax</t>
  </si>
  <si>
    <t>Tax</t>
  </si>
  <si>
    <t>Income Tax</t>
  </si>
  <si>
    <t>Interest Expense</t>
  </si>
  <si>
    <t>Cash Flow Before Debt Paydown</t>
  </si>
  <si>
    <t>Cash Flow After Debt Principal Payment</t>
  </si>
  <si>
    <t>Book Value of Debt (Principal Remaining)</t>
  </si>
  <si>
    <t>Operating Income (EBIT)</t>
  </si>
  <si>
    <t>Fixed operating costs: Conveyance</t>
  </si>
  <si>
    <t xml:space="preserve">Financing </t>
  </si>
  <si>
    <t>Depreciation Assumptions</t>
  </si>
  <si>
    <t>WACC assumptions</t>
  </si>
  <si>
    <t>Other</t>
  </si>
  <si>
    <t>Business establishment expenses</t>
  </si>
  <si>
    <t>Value of capital assets (INR lakhs)</t>
  </si>
  <si>
    <t>Book value of asset</t>
  </si>
  <si>
    <t>Average annual contract value</t>
  </si>
  <si>
    <t>P&amp;L</t>
  </si>
  <si>
    <t>Registration costs</t>
  </si>
  <si>
    <t>Financial Analysis - Option 1</t>
  </si>
  <si>
    <t>Financial Analysis - Option 2</t>
  </si>
  <si>
    <t>Assumptions</t>
  </si>
  <si>
    <t>Capital cost estimates</t>
  </si>
  <si>
    <t>Operating cost estimates</t>
  </si>
  <si>
    <t>Description</t>
  </si>
  <si>
    <t xml:space="preserve">Option 1: Operation of suction emptying trucks </t>
  </si>
  <si>
    <t xml:space="preserve">Option 1: Operation of Suction emptying trucks </t>
  </si>
  <si>
    <t>Sr. No.</t>
  </si>
  <si>
    <t>Notes</t>
  </si>
  <si>
    <t xml:space="preserve">Option 3: Construction and O&amp;M of SDBs </t>
  </si>
  <si>
    <t>Capital costs: Construction</t>
  </si>
  <si>
    <t>Construction of SDBs</t>
  </si>
  <si>
    <t>Contract value for 15% return</t>
  </si>
  <si>
    <t>Contract value for 20% return</t>
  </si>
  <si>
    <t>Contract value for 25% return</t>
  </si>
  <si>
    <t>Option 3: Construction and O&amp;M of SDBs</t>
  </si>
  <si>
    <t>Operating cost: O&amp;M of SDB</t>
  </si>
  <si>
    <t>Annual O&amp;M of SDBs</t>
  </si>
  <si>
    <t xml:space="preserve">Revenue for construction </t>
  </si>
  <si>
    <t>Revenue for O&amp;M</t>
  </si>
  <si>
    <t xml:space="preserve">Financial estimates for Construction and O&amp;M of SDBs </t>
  </si>
  <si>
    <t>Sheet name</t>
  </si>
  <si>
    <t>Assumptions regarding Equity share, WACC, rate of interest, debt, inflation, tax and operating margin expectations</t>
  </si>
  <si>
    <t>Estimates of capital expenditure required for cleaning of septic tanks and construction of SDBs</t>
  </si>
  <si>
    <t>Estimates of operating expenditure required for cleaning of septic tanks and construction of SDBs</t>
  </si>
  <si>
    <t>Output (Contract value)</t>
  </si>
  <si>
    <t>Option 2: Operation of Suction emptying trucks + Construction and O&amp;M of sludge drying beds</t>
  </si>
  <si>
    <t>Financing for trucks</t>
  </si>
  <si>
    <t>Financing for SDBs</t>
  </si>
  <si>
    <t>INR</t>
  </si>
  <si>
    <t>Payback calculations</t>
  </si>
  <si>
    <t>Collection efficiency of property tax</t>
  </si>
  <si>
    <t>Number of residential properties</t>
  </si>
  <si>
    <t>Number of non- residential properties</t>
  </si>
  <si>
    <t>Tax paid by residential property</t>
  </si>
  <si>
    <t>Tax paid by non- residential property</t>
  </si>
  <si>
    <t>Financial Analysis - Option 3,4</t>
  </si>
  <si>
    <t>Annual sanitation tax per property</t>
  </si>
  <si>
    <t>Annual sanitation tax per HH</t>
  </si>
  <si>
    <t>Contract 2A</t>
  </si>
  <si>
    <t>Contract 1A</t>
  </si>
  <si>
    <t>Contract 1B, 2B</t>
  </si>
  <si>
    <t>Contract 3A</t>
  </si>
  <si>
    <t>Contract 1B and 2B</t>
  </si>
  <si>
    <t>Net Present Value (NPV) of cash flows + Book value of Truck  - Book Value of Debt</t>
  </si>
  <si>
    <t>Book Value of truck</t>
  </si>
  <si>
    <t>Depreciation on Truck</t>
  </si>
  <si>
    <t>Book value of Truck at year end (CAPEX - Depreciation)</t>
  </si>
  <si>
    <t>Equity payment on truck</t>
  </si>
  <si>
    <t>Depreciation on truck</t>
  </si>
  <si>
    <t>Book value of truck at year end (CAPEX - Depreciation)</t>
  </si>
  <si>
    <t>Net Present Value (NPV) of cash flows + Book value of truck  - Book Value of Debt</t>
  </si>
  <si>
    <t>Equity payment on SDBs</t>
  </si>
  <si>
    <t>Investment and Finance Cash Flow (SDBs)</t>
  </si>
  <si>
    <t>Investment and Finance Cash Flow (Trucks)</t>
  </si>
  <si>
    <t>PF</t>
  </si>
  <si>
    <t>Monthly PF per employee (INR, Lakhs)</t>
  </si>
  <si>
    <t>Total Annual PF (INR, Lakhs)</t>
  </si>
  <si>
    <t>Annual PF</t>
  </si>
  <si>
    <t>Health insurance</t>
  </si>
  <si>
    <t>Annual sanitation tax per residential property</t>
  </si>
  <si>
    <t xml:space="preserve">INR </t>
  </si>
  <si>
    <t>Annual sanitation tax per commercial property</t>
  </si>
  <si>
    <t xml:space="preserve">The scenarios in Option 1 and 2 calculate the amount that needs to be paid by the ULB to ensure that the private player's business is valued at NPV 0 for the given project after paying out the debt and adding back the residual value of the truck </t>
  </si>
  <si>
    <t>Linked cells. Do not change (Only for Assumptions page)</t>
  </si>
  <si>
    <t>Hard coded values. Can be changed by the user (For Assumptions, Capital cost estimates and Operating cost estimates page)</t>
  </si>
  <si>
    <t>To determine the values under different scenarios the following steps need to be carried out:</t>
  </si>
  <si>
    <t xml:space="preserve">i) The user can change the desired hard coded variables which are marked in gray </t>
  </si>
  <si>
    <t>iii) The model will update the calculations based on the changed hard coded variables. New contract values and tax for properties can be determined by the user</t>
  </si>
  <si>
    <t>Note that the cost of refurbishment of septic tanks is not included at this stage since that is contingent on the number of tanks to be refurbished.</t>
  </si>
  <si>
    <t>Taken from capital cost estimates page</t>
  </si>
  <si>
    <t>Taken from operating cost estimates page</t>
  </si>
  <si>
    <t>Revenue - Operating Costs</t>
  </si>
  <si>
    <t>EBITDA - Depreciation</t>
  </si>
  <si>
    <t>EBIT - Interest expense</t>
  </si>
  <si>
    <t>Calculated as a percentage of profit of tax</t>
  </si>
  <si>
    <t>Profit before tax - tax due</t>
  </si>
  <si>
    <t xml:space="preserve">Net income + Depreciation. Since depreciation is a non cash accounting adjustment </t>
  </si>
  <si>
    <t>Total debt divided by number of years for which debt is taken</t>
  </si>
  <si>
    <t>Taken as a percentage on the outstanding amount</t>
  </si>
  <si>
    <t>Total contract value divided by number of households in Wai</t>
  </si>
  <si>
    <t xml:space="preserve">The tax that needs to be paid by the residential properties in Wai in a scenario where non-residential properties pay a 20% tax premium over residential properties </t>
  </si>
  <si>
    <t xml:space="preserve">The tax that needs to be paid by the non-residential properties in Wai in a scenario where non-residential properties pay a 20% tax premium over residential properties </t>
  </si>
  <si>
    <t>Taken as a percentage of total operating cost. Refreshes automatically after the button 'Refresh Contract Value' is clicked after changing the hard coded values</t>
  </si>
  <si>
    <t>A straight line depreciation is taken for the asset - truck</t>
  </si>
  <si>
    <t>Present value of the estimated inflows for the duration of the contract. Depreciation was added back since it is a non-cash expense</t>
  </si>
  <si>
    <t>Excludes the book value of asset which belongs to the private player</t>
  </si>
  <si>
    <t>Present value of the estimated inflows for the duration of the contract. Includes the book value of the truck which belongs to the private player</t>
  </si>
  <si>
    <t xml:space="preserve">Total contract value that needs to be given annually </t>
  </si>
  <si>
    <t>Total CAPEX divided by cash flow after debt repayment</t>
  </si>
  <si>
    <t>Cash flow available before debt pay down</t>
  </si>
  <si>
    <t>Cash Flow Before Debt Pay down</t>
  </si>
  <si>
    <t>Net Present Value (NPV) of cash flows after debt pay down</t>
  </si>
  <si>
    <t>Net Present Value (NPV) of cash flows after debt pay down + Book value of truck  - Book Value of Debt</t>
  </si>
  <si>
    <t>Calculated operating ratio margin for NPV = 0</t>
  </si>
  <si>
    <t xml:space="preserve">Public sector model </t>
  </si>
  <si>
    <t>Total Capex</t>
  </si>
  <si>
    <t>Total opex</t>
  </si>
  <si>
    <t>IFSM</t>
  </si>
  <si>
    <t>SDBs</t>
  </si>
  <si>
    <t xml:space="preserve">Outsourcing model </t>
  </si>
  <si>
    <t>Margin on opex</t>
  </si>
  <si>
    <t>%</t>
  </si>
  <si>
    <t>Payment for opex</t>
  </si>
  <si>
    <t>Incurred by the ULB on purchasing truck</t>
  </si>
  <si>
    <t>Same as cost in PSP model</t>
  </si>
  <si>
    <t xml:space="preserve">Private sector salaries multiplied by a factor of 2 (Assumption). Other costs same as PSP model </t>
  </si>
  <si>
    <t xml:space="preserve">Same as cost in PSP model </t>
  </si>
  <si>
    <t>Assumption</t>
  </si>
  <si>
    <t>Total payment made by the ULB for opex. After year 1, only this cost will be incurred by the ULB</t>
  </si>
  <si>
    <t>Overall</t>
  </si>
  <si>
    <t>Total cost in year 1</t>
  </si>
  <si>
    <t>Total cost incurred by the ULB for opex. After year 1, only this cost will be incurred by the ULB</t>
  </si>
  <si>
    <t>Cost of opex</t>
  </si>
  <si>
    <t>Factor on private salaries</t>
  </si>
  <si>
    <t>absolute</t>
  </si>
  <si>
    <t xml:space="preserve">Private sector salaries multiplied by a factor of 2 (Assumption - see below). Other costs same as PSP model </t>
  </si>
  <si>
    <t>Table of Contents</t>
  </si>
  <si>
    <t>Financial estimates for operation of Honeysuckers</t>
  </si>
  <si>
    <t>Option 2: Operation of Suction emptying trucks + O&amp;M of Sludge Treatment Facility</t>
  </si>
  <si>
    <t>Option 4: Operation of suction emptying trucks + Construction and O&amp;M of Sludge Treatment Facility</t>
  </si>
  <si>
    <t xml:space="preserve">Number of Sludge Treatment Facility </t>
  </si>
  <si>
    <t>Sludge Treatment Facility</t>
  </si>
  <si>
    <t>Sheet type</t>
  </si>
  <si>
    <t>Input</t>
  </si>
  <si>
    <t>Output</t>
  </si>
  <si>
    <t>Cell Legend</t>
  </si>
  <si>
    <t>Calculations (Do not enter value manually)</t>
  </si>
  <si>
    <t xml:space="preserve">Introduction </t>
  </si>
  <si>
    <t>This tool calculates the approximate annual payment required to be made by the ULB to meet the minumim profitability expectations of private players</t>
  </si>
  <si>
    <t>This figure is also used to calcuate the potential sanitation tax to be levied in the town / city (if the source of revenue is tax collected from households)</t>
  </si>
  <si>
    <t>How to use this tool</t>
  </si>
  <si>
    <t>Financial estimates for operation of Honeysuckers + O&amp;M of Sludge Treatment Facility</t>
  </si>
  <si>
    <t>Calculations Related to Output (Could hide these cells)</t>
  </si>
  <si>
    <t xml:space="preserve">ii) The user then needs to go to Output pages (Financial Analysis Option 1 and 2) and click on the button 'Refresh Contract Values'. The value for Financial Analysis - Option 3,4 will be updated automatically </t>
  </si>
  <si>
    <r>
      <t xml:space="preserve">Contract Type 
</t>
    </r>
    <r>
      <rPr>
        <i/>
        <sz val="11"/>
        <color theme="0"/>
        <rFont val="Calibri"/>
        <family val="2"/>
        <scheme val="minor"/>
      </rPr>
      <t>(as described in the toolkit)</t>
    </r>
  </si>
  <si>
    <t>(Please enter values only in gray cells)</t>
  </si>
  <si>
    <t>INPUT: Capital Costs</t>
  </si>
  <si>
    <t>INPUT: Assumptions</t>
  </si>
  <si>
    <t>INPUT: Operating Costs</t>
  </si>
  <si>
    <t>Contract Type 2A</t>
  </si>
  <si>
    <t xml:space="preserve">This financial tool is used to i) determine the approximate payment that needs to be made to the private player for different contract options ii) tax that needs to be levied for residential and non-residential properties (in case taxes are used as a source of revenue)
</t>
  </si>
  <si>
    <r>
      <t xml:space="preserve">1. </t>
    </r>
    <r>
      <rPr>
        <b/>
        <u/>
        <sz val="11"/>
        <color theme="1"/>
        <rFont val="Calibri"/>
        <family val="2"/>
        <scheme val="minor"/>
      </rPr>
      <t>Input</t>
    </r>
    <r>
      <rPr>
        <sz val="11"/>
        <color theme="1"/>
        <rFont val="Calibri"/>
        <family val="2"/>
        <scheme val="minor"/>
      </rPr>
      <t xml:space="preserve"> : Sheets were the user needs to provide values</t>
    </r>
  </si>
  <si>
    <r>
      <t xml:space="preserve">2. </t>
    </r>
    <r>
      <rPr>
        <b/>
        <u/>
        <sz val="11"/>
        <color theme="1"/>
        <rFont val="Calibri"/>
        <family val="2"/>
        <scheme val="minor"/>
      </rPr>
      <t>Output</t>
    </r>
    <r>
      <rPr>
        <sz val="11"/>
        <color theme="1"/>
        <rFont val="Calibri"/>
        <family val="2"/>
        <scheme val="minor"/>
      </rPr>
      <t>: Where the user can see the calculations and and final output values</t>
    </r>
  </si>
  <si>
    <r>
      <t>The tool is divided into 2 parts:</t>
    </r>
    <r>
      <rPr>
        <b/>
        <u/>
        <sz val="11"/>
        <color theme="1"/>
        <rFont val="Calibri"/>
        <family val="2"/>
        <scheme val="minor"/>
      </rPr>
      <t/>
    </r>
  </si>
  <si>
    <t>TOOL # 3E: FINANCIAL ASSESSMENT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</si>
</sst>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 #,##0.00_ ;_ * \-#,##0.00_ ;_ * &quot;-&quot;??_ ;_ @_ "/>
    <numFmt numFmtId="165" formatCode="_(* #,##0_);_(* \(#,##0\);_(* &quot;-&quot;??_);_(@_)"/>
    <numFmt numFmtId="166" formatCode="#,##0.000"/>
    <numFmt numFmtId="167" formatCode="_(* #,##0.000_);_(* \(#,##0.000\);_(* &quot;-&quot;??_);_(@_)"/>
    <numFmt numFmtId="168" formatCode="_ * #,##0_ ;_ * \-#,##0_ ;_ * &quot;-&quot;??_ ;_ @_ "/>
    <numFmt numFmtId="169" formatCode="0.0"/>
    <numFmt numFmtId="170" formatCode="_(* #,##0.0_);_(* \(#,##0.0\);_(* &quot;-&quot;??_);_(@_)"/>
    <numFmt numFmtId="171" formatCode="#,##0.0"/>
  </numFmts>
  <fonts count="30" x14ac:knownFonts="1">
    <font>
      <sz val="11"/>
      <color theme="1"/>
      <name val="Calibri"/>
      <family val="2"/>
      <scheme val="minor"/>
    </font>
    <font>
      <sz val="10"/>
      <color theme="1"/>
      <name val="Calibri"/>
      <family val="2"/>
      <scheme val="minor"/>
    </font>
    <font>
      <b/>
      <u/>
      <sz val="10"/>
      <color theme="1"/>
      <name val="Calibri"/>
      <family val="2"/>
      <scheme val="minor"/>
    </font>
    <font>
      <sz val="11"/>
      <color theme="1"/>
      <name val="Calibri"/>
      <family val="2"/>
      <scheme val="minor"/>
    </font>
    <font>
      <sz val="11"/>
      <color rgb="FF3F3F76"/>
      <name val="Calibri"/>
      <family val="2"/>
      <scheme val="minor"/>
    </font>
    <font>
      <b/>
      <sz val="10"/>
      <color theme="1"/>
      <name val="Calibri"/>
      <family val="2"/>
      <scheme val="minor"/>
    </font>
    <font>
      <b/>
      <sz val="10"/>
      <name val="Calibri"/>
      <family val="2"/>
      <scheme val="minor"/>
    </font>
    <font>
      <sz val="10"/>
      <name val="Calibri"/>
      <family val="2"/>
      <scheme val="minor"/>
    </font>
    <font>
      <i/>
      <sz val="10"/>
      <color theme="1"/>
      <name val="Calibri"/>
      <family val="2"/>
      <scheme val="minor"/>
    </font>
    <font>
      <b/>
      <i/>
      <u/>
      <sz val="10"/>
      <color theme="1"/>
      <name val="Calibri"/>
      <family val="2"/>
      <scheme val="minor"/>
    </font>
    <font>
      <b/>
      <i/>
      <sz val="10"/>
      <color theme="1"/>
      <name val="Calibri"/>
      <family val="2"/>
      <scheme val="minor"/>
    </font>
    <font>
      <b/>
      <sz val="11"/>
      <color theme="1"/>
      <name val="Calibri"/>
      <family val="2"/>
      <scheme val="minor"/>
    </font>
    <font>
      <b/>
      <sz val="12"/>
      <color theme="1"/>
      <name val="Calibri"/>
      <family val="2"/>
      <scheme val="minor"/>
    </font>
    <font>
      <sz val="16"/>
      <color rgb="FF0000FF"/>
      <name val="Calibri"/>
      <family val="2"/>
    </font>
    <font>
      <sz val="10"/>
      <name val="Arial"/>
      <family val="2"/>
    </font>
    <font>
      <i/>
      <sz val="11"/>
      <color theme="1"/>
      <name val="Calibri"/>
      <family val="2"/>
      <scheme val="minor"/>
    </font>
    <font>
      <b/>
      <sz val="11"/>
      <color theme="0"/>
      <name val="Calibri"/>
      <family val="2"/>
      <scheme val="minor"/>
    </font>
    <font>
      <b/>
      <sz val="28"/>
      <color rgb="FF67103F"/>
      <name val="Calibri"/>
      <family val="2"/>
      <scheme val="minor"/>
    </font>
    <font>
      <b/>
      <sz val="14"/>
      <name val="Calibri"/>
      <family val="2"/>
      <scheme val="minor"/>
    </font>
    <font>
      <sz val="12"/>
      <color theme="1"/>
      <name val="Calibri"/>
      <family val="2"/>
      <scheme val="minor"/>
    </font>
    <font>
      <b/>
      <sz val="14"/>
      <color theme="1"/>
      <name val="Calibri"/>
      <family val="2"/>
      <scheme val="minor"/>
    </font>
    <font>
      <b/>
      <sz val="10"/>
      <color theme="0"/>
      <name val="Calibri"/>
      <family val="2"/>
      <scheme val="minor"/>
    </font>
    <font>
      <sz val="10"/>
      <color theme="0"/>
      <name val="Calibri"/>
      <family val="2"/>
      <scheme val="minor"/>
    </font>
    <font>
      <i/>
      <sz val="11"/>
      <color theme="0"/>
      <name val="Calibri"/>
      <family val="2"/>
      <scheme val="minor"/>
    </font>
    <font>
      <b/>
      <sz val="14"/>
      <color rgb="FF67103F"/>
      <name val="Calibri"/>
      <family val="2"/>
      <scheme val="minor"/>
    </font>
    <font>
      <b/>
      <sz val="16"/>
      <color rgb="FF67103F"/>
      <name val="Calibri"/>
      <family val="2"/>
      <scheme val="minor"/>
    </font>
    <font>
      <b/>
      <sz val="12"/>
      <color rgb="FF67103F"/>
      <name val="Calibri"/>
      <family val="2"/>
      <scheme val="minor"/>
    </font>
    <font>
      <b/>
      <u/>
      <sz val="11"/>
      <color theme="1"/>
      <name val="Calibri"/>
      <family val="2"/>
      <scheme val="minor"/>
    </font>
    <font>
      <sz val="9"/>
      <color indexed="81"/>
      <name val="Tahoma"/>
      <family val="2"/>
    </font>
    <font>
      <b/>
      <sz val="9"/>
      <color indexed="81"/>
      <name val="Tahoma"/>
      <family val="2"/>
    </font>
  </fonts>
  <fills count="1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67103F"/>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s>
  <cellStyleXfs count="5">
    <xf numFmtId="0" fontId="0" fillId="0" borderId="0"/>
    <xf numFmtId="43" fontId="3" fillId="0" borderId="0" applyFont="0" applyFill="0" applyBorder="0" applyAlignment="0" applyProtection="0"/>
    <xf numFmtId="0" fontId="4" fillId="3" borderId="1" applyNumberFormat="0" applyAlignment="0" applyProtection="0"/>
    <xf numFmtId="9" fontId="3" fillId="0" borderId="0" applyFont="0" applyFill="0" applyBorder="0" applyAlignment="0" applyProtection="0"/>
    <xf numFmtId="0" fontId="14" fillId="0" borderId="0"/>
  </cellStyleXfs>
  <cellXfs count="219">
    <xf numFmtId="0" fontId="0" fillId="0" borderId="0" xfId="0"/>
    <xf numFmtId="0" fontId="1" fillId="2" borderId="0" xfId="0" applyFont="1" applyFill="1"/>
    <xf numFmtId="0" fontId="2" fillId="2" borderId="0" xfId="0" applyFont="1" applyFill="1"/>
    <xf numFmtId="0" fontId="5" fillId="2" borderId="0" xfId="0" applyFont="1" applyFill="1"/>
    <xf numFmtId="9" fontId="1" fillId="2" borderId="0" xfId="0" applyNumberFormat="1" applyFont="1" applyFill="1"/>
    <xf numFmtId="2" fontId="1" fillId="2" borderId="0" xfId="0" applyNumberFormat="1" applyFont="1" applyFill="1"/>
    <xf numFmtId="43" fontId="1" fillId="2" borderId="0" xfId="0" applyNumberFormat="1" applyFont="1" applyFill="1"/>
    <xf numFmtId="0" fontId="7" fillId="2" borderId="2" xfId="0" applyFont="1" applyFill="1" applyBorder="1" applyAlignment="1">
      <alignment horizontal="center"/>
    </xf>
    <xf numFmtId="1" fontId="7" fillId="2" borderId="0" xfId="0" applyNumberFormat="1" applyFont="1" applyFill="1" applyBorder="1" applyAlignment="1">
      <alignment horizontal="center"/>
    </xf>
    <xf numFmtId="9" fontId="7" fillId="2" borderId="0" xfId="2" applyNumberFormat="1" applyFont="1" applyFill="1" applyBorder="1" applyAlignment="1">
      <alignment horizontal="center"/>
    </xf>
    <xf numFmtId="0" fontId="7" fillId="2" borderId="0" xfId="2" applyFont="1" applyFill="1" applyBorder="1" applyAlignment="1">
      <alignment horizontal="center"/>
    </xf>
    <xf numFmtId="43" fontId="7" fillId="2" borderId="0" xfId="2" applyNumberFormat="1" applyFont="1" applyFill="1" applyBorder="1" applyAlignment="1">
      <alignment horizontal="center"/>
    </xf>
    <xf numFmtId="43" fontId="7" fillId="2" borderId="0" xfId="1" applyFont="1" applyFill="1" applyBorder="1" applyAlignment="1">
      <alignment horizontal="center"/>
    </xf>
    <xf numFmtId="168" fontId="7" fillId="2" borderId="3" xfId="1" applyNumberFormat="1"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168" fontId="7" fillId="2" borderId="5" xfId="1" applyNumberFormat="1" applyFont="1" applyFill="1" applyBorder="1" applyAlignment="1">
      <alignment horizontal="right"/>
    </xf>
    <xf numFmtId="0" fontId="7" fillId="4" borderId="7" xfId="0" applyFont="1" applyFill="1" applyBorder="1" applyAlignment="1">
      <alignment horizontal="center"/>
    </xf>
    <xf numFmtId="0" fontId="7" fillId="4" borderId="8" xfId="0" applyFont="1" applyFill="1" applyBorder="1" applyAlignment="1">
      <alignment horizontal="center" vertical="center" wrapText="1"/>
    </xf>
    <xf numFmtId="0" fontId="7"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1" fillId="2" borderId="11" xfId="0" applyFont="1" applyFill="1" applyBorder="1"/>
    <xf numFmtId="0" fontId="1" fillId="2" borderId="12" xfId="0" applyFont="1" applyFill="1" applyBorder="1"/>
    <xf numFmtId="0" fontId="1" fillId="2" borderId="10" xfId="0" applyFont="1" applyFill="1" applyBorder="1"/>
    <xf numFmtId="9" fontId="1" fillId="2" borderId="10" xfId="0" applyNumberFormat="1" applyFont="1" applyFill="1" applyBorder="1"/>
    <xf numFmtId="0" fontId="1" fillId="2" borderId="14" xfId="0" applyFont="1" applyFill="1" applyBorder="1"/>
    <xf numFmtId="0" fontId="1" fillId="2" borderId="13" xfId="0" applyFont="1" applyFill="1" applyBorder="1"/>
    <xf numFmtId="0" fontId="6" fillId="5" borderId="8" xfId="0" applyFont="1" applyFill="1" applyBorder="1" applyAlignment="1">
      <alignment horizontal="center"/>
    </xf>
    <xf numFmtId="0" fontId="6" fillId="5" borderId="9" xfId="0" applyFont="1" applyFill="1" applyBorder="1" applyAlignment="1">
      <alignment horizontal="center"/>
    </xf>
    <xf numFmtId="0" fontId="2" fillId="2" borderId="15" xfId="0" applyFont="1" applyFill="1" applyBorder="1"/>
    <xf numFmtId="0" fontId="1" fillId="2" borderId="16" xfId="0" applyFont="1" applyFill="1" applyBorder="1"/>
    <xf numFmtId="0" fontId="1" fillId="2" borderId="17" xfId="0" applyFont="1" applyFill="1" applyBorder="1"/>
    <xf numFmtId="0" fontId="1" fillId="2" borderId="18" xfId="0" applyFont="1" applyFill="1" applyBorder="1"/>
    <xf numFmtId="0" fontId="1" fillId="2" borderId="0" xfId="0" applyFont="1" applyFill="1" applyBorder="1"/>
    <xf numFmtId="0" fontId="1" fillId="2" borderId="19" xfId="0" applyFont="1" applyFill="1" applyBorder="1"/>
    <xf numFmtId="0" fontId="1" fillId="2" borderId="20" xfId="0" applyFont="1" applyFill="1" applyBorder="1"/>
    <xf numFmtId="0" fontId="1" fillId="2" borderId="21" xfId="0" applyFont="1" applyFill="1" applyBorder="1"/>
    <xf numFmtId="0" fontId="1" fillId="2" borderId="23" xfId="0" applyFont="1" applyFill="1" applyBorder="1"/>
    <xf numFmtId="43" fontId="1" fillId="2" borderId="0" xfId="0" applyNumberFormat="1" applyFont="1" applyFill="1" applyBorder="1"/>
    <xf numFmtId="0" fontId="1" fillId="2" borderId="0" xfId="0" applyFont="1" applyFill="1" applyBorder="1" applyAlignment="1">
      <alignment horizontal="right"/>
    </xf>
    <xf numFmtId="0" fontId="1" fillId="2" borderId="24" xfId="0" applyFont="1" applyFill="1" applyBorder="1"/>
    <xf numFmtId="0" fontId="1" fillId="2" borderId="25" xfId="0" applyFont="1" applyFill="1" applyBorder="1"/>
    <xf numFmtId="43" fontId="1" fillId="2" borderId="21" xfId="0" applyNumberFormat="1" applyFont="1" applyFill="1" applyBorder="1"/>
    <xf numFmtId="0" fontId="1" fillId="2" borderId="22" xfId="0" applyFont="1" applyFill="1" applyBorder="1"/>
    <xf numFmtId="165" fontId="1" fillId="2" borderId="23" xfId="1" applyNumberFormat="1" applyFont="1" applyFill="1" applyBorder="1"/>
    <xf numFmtId="0" fontId="1" fillId="2" borderId="11" xfId="0" applyFont="1" applyFill="1" applyBorder="1" applyAlignment="1">
      <alignment horizontal="right"/>
    </xf>
    <xf numFmtId="0" fontId="1" fillId="2" borderId="23" xfId="0" applyFont="1" applyFill="1" applyBorder="1" applyAlignment="1">
      <alignment horizontal="right"/>
    </xf>
    <xf numFmtId="4" fontId="1" fillId="2" borderId="11" xfId="0" applyNumberFormat="1" applyFont="1" applyFill="1" applyBorder="1"/>
    <xf numFmtId="4" fontId="1" fillId="2" borderId="12" xfId="0" applyNumberFormat="1" applyFont="1" applyFill="1" applyBorder="1"/>
    <xf numFmtId="4" fontId="1" fillId="2" borderId="23" xfId="0" applyNumberFormat="1" applyFont="1" applyFill="1" applyBorder="1"/>
    <xf numFmtId="43" fontId="1" fillId="2" borderId="23" xfId="1" applyNumberFormat="1" applyFont="1" applyFill="1" applyBorder="1"/>
    <xf numFmtId="165" fontId="1" fillId="2" borderId="16" xfId="1" applyNumberFormat="1" applyFont="1" applyFill="1" applyBorder="1"/>
    <xf numFmtId="43" fontId="1" fillId="6" borderId="12" xfId="0" applyNumberFormat="1" applyFont="1" applyFill="1" applyBorder="1"/>
    <xf numFmtId="0" fontId="2" fillId="2" borderId="1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 fillId="2" borderId="20" xfId="0" applyFont="1" applyFill="1" applyBorder="1" applyAlignment="1">
      <alignment horizontal="center" vertical="center"/>
    </xf>
    <xf numFmtId="0" fontId="6" fillId="5" borderId="7" xfId="0" applyFont="1" applyFill="1" applyBorder="1" applyAlignment="1">
      <alignment horizontal="left"/>
    </xf>
    <xf numFmtId="4" fontId="1" fillId="2" borderId="23" xfId="0" applyNumberFormat="1" applyFont="1" applyFill="1" applyBorder="1" applyAlignment="1">
      <alignment horizontal="right"/>
    </xf>
    <xf numFmtId="3" fontId="1" fillId="2" borderId="10" xfId="0" applyNumberFormat="1" applyFont="1" applyFill="1" applyBorder="1"/>
    <xf numFmtId="0" fontId="1" fillId="4" borderId="10" xfId="0" applyFont="1" applyFill="1" applyBorder="1"/>
    <xf numFmtId="0" fontId="1" fillId="7" borderId="0" xfId="0" applyFont="1" applyFill="1"/>
    <xf numFmtId="0" fontId="5" fillId="2" borderId="10" xfId="0" applyFont="1" applyFill="1" applyBorder="1"/>
    <xf numFmtId="0" fontId="1" fillId="2" borderId="10" xfId="0" applyFont="1" applyFill="1" applyBorder="1" applyAlignment="1">
      <alignment wrapText="1"/>
    </xf>
    <xf numFmtId="0" fontId="9" fillId="7" borderId="0" xfId="0" applyFont="1" applyFill="1" applyAlignment="1">
      <alignment horizontal="center"/>
    </xf>
    <xf numFmtId="0" fontId="10" fillId="8" borderId="0" xfId="0" applyFont="1" applyFill="1"/>
    <xf numFmtId="2" fontId="1" fillId="4" borderId="10" xfId="0" applyNumberFormat="1" applyFont="1" applyFill="1" applyBorder="1"/>
    <xf numFmtId="43" fontId="1" fillId="4" borderId="10" xfId="0" applyNumberFormat="1" applyFont="1" applyFill="1" applyBorder="1"/>
    <xf numFmtId="0" fontId="5" fillId="4" borderId="10" xfId="0" applyFont="1" applyFill="1" applyBorder="1"/>
    <xf numFmtId="43" fontId="5" fillId="4" borderId="10" xfId="0" applyNumberFormat="1" applyFont="1" applyFill="1" applyBorder="1"/>
    <xf numFmtId="0" fontId="1" fillId="2" borderId="0" xfId="0" applyFont="1" applyFill="1" applyAlignment="1">
      <alignment horizontal="center" vertical="center"/>
    </xf>
    <xf numFmtId="0" fontId="5" fillId="2" borderId="0" xfId="0" applyFont="1" applyFill="1" applyBorder="1"/>
    <xf numFmtId="43" fontId="5" fillId="2" borderId="0" xfId="0" applyNumberFormat="1" applyFont="1" applyFill="1" applyBorder="1"/>
    <xf numFmtId="43" fontId="5" fillId="2" borderId="10" xfId="0" applyNumberFormat="1" applyFont="1" applyFill="1" applyBorder="1"/>
    <xf numFmtId="164" fontId="1" fillId="2" borderId="0" xfId="0" applyNumberFormat="1" applyFont="1" applyFill="1"/>
    <xf numFmtId="9" fontId="5" fillId="2" borderId="10" xfId="0" applyNumberFormat="1" applyFont="1" applyFill="1" applyBorder="1" applyAlignment="1">
      <alignment horizontal="left"/>
    </xf>
    <xf numFmtId="0" fontId="11" fillId="2" borderId="0" xfId="0" applyFont="1" applyFill="1"/>
    <xf numFmtId="0" fontId="1" fillId="2" borderId="10" xfId="0" applyFont="1" applyFill="1" applyBorder="1" applyAlignment="1">
      <alignment horizontal="right"/>
    </xf>
    <xf numFmtId="10" fontId="1" fillId="2" borderId="12" xfId="0" applyNumberFormat="1" applyFont="1" applyFill="1" applyBorder="1"/>
    <xf numFmtId="1" fontId="1" fillId="2" borderId="10" xfId="0" applyNumberFormat="1" applyFont="1" applyFill="1" applyBorder="1" applyAlignment="1">
      <alignment horizontal="left"/>
    </xf>
    <xf numFmtId="1" fontId="1" fillId="2" borderId="10" xfId="0" applyNumberFormat="1" applyFont="1" applyFill="1" applyBorder="1"/>
    <xf numFmtId="0" fontId="1" fillId="2" borderId="14" xfId="0" applyFont="1" applyFill="1" applyBorder="1" applyAlignment="1">
      <alignment horizontal="center" vertical="center"/>
    </xf>
    <xf numFmtId="10" fontId="1" fillId="2" borderId="10" xfId="0" applyNumberFormat="1" applyFont="1" applyFill="1" applyBorder="1" applyAlignment="1">
      <alignment horizontal="center" vertical="center"/>
    </xf>
    <xf numFmtId="9" fontId="1" fillId="2" borderId="10" xfId="0" applyNumberFormat="1" applyFont="1" applyFill="1" applyBorder="1" applyAlignment="1">
      <alignment horizontal="right"/>
    </xf>
    <xf numFmtId="0" fontId="1" fillId="9" borderId="0" xfId="0" applyFont="1" applyFill="1" applyAlignment="1">
      <alignment horizontal="center"/>
    </xf>
    <xf numFmtId="170" fontId="5" fillId="4" borderId="10" xfId="0" applyNumberFormat="1" applyFont="1" applyFill="1" applyBorder="1"/>
    <xf numFmtId="169" fontId="1" fillId="4" borderId="10" xfId="0" applyNumberFormat="1" applyFont="1" applyFill="1" applyBorder="1"/>
    <xf numFmtId="10" fontId="1" fillId="2" borderId="0" xfId="0" applyNumberFormat="1" applyFont="1" applyFill="1" applyBorder="1" applyAlignment="1">
      <alignment horizontal="center" vertical="center"/>
    </xf>
    <xf numFmtId="9" fontId="1" fillId="2" borderId="0" xfId="0" applyNumberFormat="1" applyFont="1" applyFill="1" applyBorder="1"/>
    <xf numFmtId="9" fontId="1" fillId="2" borderId="0" xfId="0" applyNumberFormat="1" applyFont="1" applyFill="1" applyBorder="1" applyAlignment="1">
      <alignment horizontal="right"/>
    </xf>
    <xf numFmtId="0" fontId="8" fillId="2" borderId="0" xfId="0" applyFont="1" applyFill="1" applyBorder="1"/>
    <xf numFmtId="0" fontId="1" fillId="2" borderId="0" xfId="0" applyNumberFormat="1" applyFont="1" applyFill="1" applyBorder="1"/>
    <xf numFmtId="10" fontId="1" fillId="2" borderId="0" xfId="0" applyNumberFormat="1" applyFont="1" applyFill="1" applyBorder="1"/>
    <xf numFmtId="0" fontId="1" fillId="2" borderId="0" xfId="0" applyFont="1" applyFill="1" applyBorder="1" applyAlignment="1">
      <alignment horizontal="center"/>
    </xf>
    <xf numFmtId="2" fontId="1" fillId="2" borderId="0" xfId="0" applyNumberFormat="1" applyFont="1" applyFill="1" applyBorder="1"/>
    <xf numFmtId="0" fontId="1" fillId="2" borderId="26" xfId="0" applyFont="1" applyFill="1" applyBorder="1"/>
    <xf numFmtId="0" fontId="1" fillId="2" borderId="10" xfId="0" applyFont="1" applyFill="1" applyBorder="1" applyAlignment="1">
      <alignment horizontal="left"/>
    </xf>
    <xf numFmtId="1" fontId="1" fillId="11" borderId="10" xfId="0" applyNumberFormat="1" applyFont="1" applyFill="1" applyBorder="1" applyAlignment="1">
      <alignment horizontal="right"/>
    </xf>
    <xf numFmtId="1" fontId="1" fillId="11" borderId="10" xfId="0" applyNumberFormat="1" applyFont="1" applyFill="1" applyBorder="1"/>
    <xf numFmtId="0" fontId="7" fillId="2" borderId="0" xfId="0" applyFont="1" applyFill="1" applyBorder="1" applyAlignment="1">
      <alignment horizontal="center"/>
    </xf>
    <xf numFmtId="9" fontId="7" fillId="2" borderId="0" xfId="0" applyNumberFormat="1" applyFont="1" applyFill="1" applyBorder="1"/>
    <xf numFmtId="9" fontId="1" fillId="2" borderId="0" xfId="3" applyFont="1" applyFill="1"/>
    <xf numFmtId="2" fontId="5" fillId="4" borderId="10" xfId="0" applyNumberFormat="1" applyFont="1" applyFill="1" applyBorder="1"/>
    <xf numFmtId="2" fontId="1" fillId="11" borderId="10" xfId="0" applyNumberFormat="1" applyFont="1" applyFill="1" applyBorder="1"/>
    <xf numFmtId="2" fontId="1" fillId="12" borderId="10" xfId="0" applyNumberFormat="1" applyFont="1" applyFill="1" applyBorder="1"/>
    <xf numFmtId="0" fontId="1" fillId="12" borderId="10" xfId="0" applyFont="1" applyFill="1" applyBorder="1"/>
    <xf numFmtId="0" fontId="1" fillId="12" borderId="11" xfId="0" applyFont="1" applyFill="1" applyBorder="1"/>
    <xf numFmtId="164" fontId="1" fillId="11" borderId="0" xfId="0" applyNumberFormat="1" applyFont="1" applyFill="1"/>
    <xf numFmtId="43" fontId="1" fillId="6" borderId="23" xfId="1" applyNumberFormat="1" applyFont="1" applyFill="1" applyBorder="1"/>
    <xf numFmtId="0" fontId="1" fillId="6" borderId="10" xfId="0" applyFont="1" applyFill="1" applyBorder="1"/>
    <xf numFmtId="168" fontId="7" fillId="6" borderId="0" xfId="1" applyNumberFormat="1" applyFont="1" applyFill="1" applyBorder="1" applyAlignment="1">
      <alignment horizontal="center"/>
    </xf>
    <xf numFmtId="43" fontId="6" fillId="6" borderId="6" xfId="1" applyNumberFormat="1" applyFont="1" applyFill="1" applyBorder="1" applyAlignment="1">
      <alignment horizontal="center"/>
    </xf>
    <xf numFmtId="0" fontId="1" fillId="11" borderId="6" xfId="0" applyFont="1" applyFill="1" applyBorder="1"/>
    <xf numFmtId="0" fontId="1" fillId="2" borderId="0" xfId="0" applyFont="1" applyFill="1" applyAlignment="1">
      <alignment horizontal="left"/>
    </xf>
    <xf numFmtId="0" fontId="1" fillId="11" borderId="10" xfId="0" applyFont="1" applyFill="1" applyBorder="1"/>
    <xf numFmtId="0" fontId="8" fillId="2" borderId="0" xfId="0" applyFont="1" applyFill="1"/>
    <xf numFmtId="43" fontId="1" fillId="12" borderId="10" xfId="0" applyNumberFormat="1" applyFont="1" applyFill="1" applyBorder="1"/>
    <xf numFmtId="2" fontId="1" fillId="4" borderId="0" xfId="0" applyNumberFormat="1" applyFont="1" applyFill="1"/>
    <xf numFmtId="0" fontId="1" fillId="12" borderId="0" xfId="0" applyFont="1" applyFill="1"/>
    <xf numFmtId="164" fontId="1" fillId="4" borderId="0" xfId="0" applyNumberFormat="1" applyFont="1" applyFill="1"/>
    <xf numFmtId="1" fontId="1" fillId="4" borderId="10" xfId="0" applyNumberFormat="1" applyFont="1" applyFill="1" applyBorder="1"/>
    <xf numFmtId="1" fontId="1" fillId="4" borderId="10" xfId="0" applyNumberFormat="1" applyFont="1" applyFill="1" applyBorder="1" applyAlignment="1">
      <alignment horizontal="right"/>
    </xf>
    <xf numFmtId="169" fontId="1" fillId="12" borderId="10" xfId="0" applyNumberFormat="1" applyFont="1" applyFill="1" applyBorder="1" applyAlignment="1">
      <alignment horizontal="right"/>
    </xf>
    <xf numFmtId="169" fontId="1" fillId="12" borderId="10" xfId="0" applyNumberFormat="1" applyFont="1" applyFill="1" applyBorder="1"/>
    <xf numFmtId="169" fontId="1" fillId="6" borderId="0" xfId="0" applyNumberFormat="1" applyFont="1" applyFill="1" applyBorder="1"/>
    <xf numFmtId="165" fontId="1" fillId="4" borderId="12" xfId="0" applyNumberFormat="1" applyFont="1" applyFill="1" applyBorder="1"/>
    <xf numFmtId="0" fontId="1" fillId="4" borderId="12" xfId="0" applyFont="1" applyFill="1" applyBorder="1" applyAlignment="1">
      <alignment horizontal="right"/>
    </xf>
    <xf numFmtId="43" fontId="1" fillId="4" borderId="12" xfId="1" applyNumberFormat="1" applyFont="1" applyFill="1" applyBorder="1"/>
    <xf numFmtId="43" fontId="1" fillId="4" borderId="23" xfId="1" applyNumberFormat="1" applyFont="1" applyFill="1" applyBorder="1"/>
    <xf numFmtId="43" fontId="1" fillId="4" borderId="12" xfId="0" applyNumberFormat="1" applyFont="1" applyFill="1" applyBorder="1"/>
    <xf numFmtId="43" fontId="1" fillId="4" borderId="23" xfId="1" applyNumberFormat="1" applyFont="1" applyFill="1" applyBorder="1" applyAlignment="1">
      <alignment horizontal="right"/>
    </xf>
    <xf numFmtId="167" fontId="1" fillId="4" borderId="23" xfId="1" applyNumberFormat="1" applyFont="1" applyFill="1" applyBorder="1"/>
    <xf numFmtId="167" fontId="1" fillId="4" borderId="12" xfId="0" applyNumberFormat="1" applyFont="1" applyFill="1" applyBorder="1"/>
    <xf numFmtId="0" fontId="1" fillId="10" borderId="0" xfId="0" applyFont="1" applyFill="1" applyAlignment="1">
      <alignment horizontal="center"/>
    </xf>
    <xf numFmtId="0" fontId="1" fillId="6" borderId="0" xfId="0" applyFont="1" applyFill="1" applyBorder="1"/>
    <xf numFmtId="43" fontId="1" fillId="12" borderId="11" xfId="0" applyNumberFormat="1" applyFont="1" applyFill="1" applyBorder="1"/>
    <xf numFmtId="43" fontId="1" fillId="12" borderId="0" xfId="0" applyNumberFormat="1" applyFont="1" applyFill="1"/>
    <xf numFmtId="1" fontId="7" fillId="2" borderId="5" xfId="0" applyNumberFormat="1" applyFont="1" applyFill="1" applyBorder="1" applyAlignment="1">
      <alignment horizontal="center"/>
    </xf>
    <xf numFmtId="9" fontId="1" fillId="2" borderId="10" xfId="3" applyFont="1" applyFill="1" applyBorder="1"/>
    <xf numFmtId="169" fontId="1" fillId="4" borderId="10" xfId="0" applyNumberFormat="1" applyFont="1" applyFill="1" applyBorder="1" applyAlignment="1">
      <alignment horizontal="right"/>
    </xf>
    <xf numFmtId="171" fontId="1" fillId="2" borderId="10" xfId="0" applyNumberFormat="1" applyFont="1" applyFill="1" applyBorder="1"/>
    <xf numFmtId="169" fontId="1" fillId="11" borderId="10" xfId="0" applyNumberFormat="1" applyFont="1" applyFill="1" applyBorder="1"/>
    <xf numFmtId="0" fontId="0" fillId="2" borderId="0" xfId="0" applyFill="1"/>
    <xf numFmtId="0" fontId="1" fillId="2" borderId="6" xfId="0" applyFont="1" applyFill="1" applyBorder="1"/>
    <xf numFmtId="0" fontId="1" fillId="10" borderId="11" xfId="0" applyFont="1" applyFill="1" applyBorder="1"/>
    <xf numFmtId="165" fontId="1" fillId="10" borderId="23" xfId="1" applyNumberFormat="1" applyFont="1" applyFill="1" applyBorder="1"/>
    <xf numFmtId="9" fontId="1" fillId="10" borderId="10" xfId="0" applyNumberFormat="1" applyFont="1" applyFill="1" applyBorder="1"/>
    <xf numFmtId="0" fontId="1" fillId="10" borderId="10" xfId="0" applyFont="1" applyFill="1" applyBorder="1"/>
    <xf numFmtId="1" fontId="1" fillId="10" borderId="10" xfId="0" applyNumberFormat="1" applyFont="1" applyFill="1" applyBorder="1"/>
    <xf numFmtId="3" fontId="1" fillId="10" borderId="10" xfId="0" applyNumberFormat="1" applyFont="1" applyFill="1" applyBorder="1"/>
    <xf numFmtId="171" fontId="1" fillId="10" borderId="10" xfId="0" applyNumberFormat="1" applyFont="1" applyFill="1" applyBorder="1"/>
    <xf numFmtId="0" fontId="1" fillId="10" borderId="6" xfId="0" applyFont="1" applyFill="1" applyBorder="1"/>
    <xf numFmtId="4" fontId="1" fillId="10" borderId="23" xfId="0" applyNumberFormat="1" applyFont="1" applyFill="1" applyBorder="1"/>
    <xf numFmtId="0" fontId="1" fillId="10" borderId="23" xfId="0" applyFont="1" applyFill="1" applyBorder="1"/>
    <xf numFmtId="43" fontId="1" fillId="10" borderId="11" xfId="1" applyNumberFormat="1" applyFont="1" applyFill="1" applyBorder="1"/>
    <xf numFmtId="43" fontId="1" fillId="10" borderId="23" xfId="1" applyNumberFormat="1" applyFont="1" applyFill="1" applyBorder="1"/>
    <xf numFmtId="43" fontId="1" fillId="10" borderId="12" xfId="0" applyNumberFormat="1" applyFont="1" applyFill="1" applyBorder="1"/>
    <xf numFmtId="165" fontId="1" fillId="4" borderId="12" xfId="1" applyNumberFormat="1" applyFont="1" applyFill="1" applyBorder="1"/>
    <xf numFmtId="4" fontId="1" fillId="10" borderId="11" xfId="0" applyNumberFormat="1" applyFont="1" applyFill="1" applyBorder="1" applyAlignment="1">
      <alignment horizontal="right"/>
    </xf>
    <xf numFmtId="4" fontId="1" fillId="10" borderId="23" xfId="0" applyNumberFormat="1" applyFont="1" applyFill="1" applyBorder="1" applyAlignment="1">
      <alignment horizontal="right"/>
    </xf>
    <xf numFmtId="4" fontId="1" fillId="10" borderId="12" xfId="0" applyNumberFormat="1" applyFont="1" applyFill="1" applyBorder="1" applyAlignment="1">
      <alignment horizontal="right"/>
    </xf>
    <xf numFmtId="166" fontId="1" fillId="10" borderId="11" xfId="0" applyNumberFormat="1" applyFont="1" applyFill="1" applyBorder="1"/>
    <xf numFmtId="4" fontId="1" fillId="10" borderId="11" xfId="0" applyNumberFormat="1" applyFont="1" applyFill="1" applyBorder="1"/>
    <xf numFmtId="43" fontId="1" fillId="10" borderId="12" xfId="1" applyNumberFormat="1" applyFont="1" applyFill="1" applyBorder="1"/>
    <xf numFmtId="0" fontId="15" fillId="2" borderId="0" xfId="0" applyFont="1" applyFill="1"/>
    <xf numFmtId="2" fontId="0" fillId="2" borderId="0" xfId="0" applyNumberFormat="1" applyFill="1"/>
    <xf numFmtId="0" fontId="11" fillId="2" borderId="7" xfId="0" applyFont="1" applyFill="1" applyBorder="1"/>
    <xf numFmtId="0" fontId="5" fillId="2" borderId="8" xfId="0" applyFont="1" applyFill="1" applyBorder="1"/>
    <xf numFmtId="2" fontId="7" fillId="4" borderId="10" xfId="0" applyNumberFormat="1" applyFont="1" applyFill="1" applyBorder="1"/>
    <xf numFmtId="2" fontId="1" fillId="13" borderId="10" xfId="0" applyNumberFormat="1" applyFont="1" applyFill="1" applyBorder="1"/>
    <xf numFmtId="2" fontId="11" fillId="11" borderId="9" xfId="0" applyNumberFormat="1" applyFont="1" applyFill="1" applyBorder="1"/>
    <xf numFmtId="0" fontId="1" fillId="2" borderId="32" xfId="0" applyFont="1" applyFill="1" applyBorder="1"/>
    <xf numFmtId="165" fontId="1" fillId="2" borderId="33" xfId="1" applyNumberFormat="1" applyFont="1" applyFill="1" applyBorder="1"/>
    <xf numFmtId="0" fontId="1" fillId="2" borderId="4" xfId="0" applyFont="1" applyFill="1" applyBorder="1"/>
    <xf numFmtId="0" fontId="1" fillId="2" borderId="34" xfId="0" applyFont="1" applyFill="1" applyBorder="1"/>
    <xf numFmtId="0" fontId="17" fillId="0" borderId="0" xfId="0" applyFont="1" applyAlignment="1">
      <alignment vertical="center"/>
    </xf>
    <xf numFmtId="0" fontId="18" fillId="2" borderId="0" xfId="0" applyFont="1" applyFill="1"/>
    <xf numFmtId="0" fontId="17" fillId="2" borderId="0" xfId="0" applyFont="1" applyFill="1" applyAlignment="1">
      <alignment vertical="center"/>
    </xf>
    <xf numFmtId="0" fontId="19" fillId="2" borderId="0" xfId="0" applyFont="1" applyFill="1"/>
    <xf numFmtId="17" fontId="19" fillId="2" borderId="0" xfId="0" quotePrefix="1" applyNumberFormat="1" applyFont="1" applyFill="1"/>
    <xf numFmtId="0" fontId="1" fillId="4" borderId="31" xfId="0" applyFont="1" applyFill="1" applyBorder="1"/>
    <xf numFmtId="0" fontId="1" fillId="2" borderId="5" xfId="0" applyFont="1" applyFill="1" applyBorder="1"/>
    <xf numFmtId="0" fontId="11" fillId="2" borderId="5" xfId="0" applyFont="1" applyFill="1" applyBorder="1"/>
    <xf numFmtId="0" fontId="12" fillId="2" borderId="5" xfId="0" applyFont="1" applyFill="1" applyBorder="1"/>
    <xf numFmtId="0" fontId="20" fillId="2" borderId="0" xfId="0" applyFont="1" applyFill="1"/>
    <xf numFmtId="0" fontId="0" fillId="9" borderId="0" xfId="0" applyFill="1"/>
    <xf numFmtId="0" fontId="5" fillId="2" borderId="5" xfId="0" applyFont="1" applyFill="1" applyBorder="1" applyAlignment="1">
      <alignment horizontal="center"/>
    </xf>
    <xf numFmtId="0" fontId="1" fillId="2" borderId="3" xfId="0" applyFont="1" applyFill="1" applyBorder="1"/>
    <xf numFmtId="0" fontId="1" fillId="2" borderId="3" xfId="0" applyFont="1" applyFill="1" applyBorder="1" applyAlignment="1">
      <alignment horizontal="center" vertical="center"/>
    </xf>
    <xf numFmtId="9" fontId="1" fillId="2" borderId="35" xfId="0" applyNumberFormat="1" applyFont="1" applyFill="1" applyBorder="1"/>
    <xf numFmtId="169" fontId="1" fillId="6" borderId="3" xfId="0" applyNumberFormat="1" applyFont="1" applyFill="1" applyBorder="1"/>
    <xf numFmtId="0" fontId="1" fillId="2" borderId="36" xfId="0" applyFont="1" applyFill="1" applyBorder="1"/>
    <xf numFmtId="9" fontId="1" fillId="10" borderId="35" xfId="0" applyNumberFormat="1" applyFont="1" applyFill="1" applyBorder="1"/>
    <xf numFmtId="0" fontId="1" fillId="10" borderId="35" xfId="0" applyFont="1" applyFill="1" applyBorder="1"/>
    <xf numFmtId="0" fontId="22" fillId="14" borderId="0" xfId="0" applyFont="1" applyFill="1"/>
    <xf numFmtId="9" fontId="11" fillId="2" borderId="5" xfId="0" applyNumberFormat="1" applyFont="1" applyFill="1" applyBorder="1"/>
    <xf numFmtId="0" fontId="21" fillId="14" borderId="0" xfId="0" applyFont="1" applyFill="1"/>
    <xf numFmtId="0" fontId="21" fillId="14" borderId="0" xfId="0" applyFont="1" applyFill="1" applyAlignment="1">
      <alignment horizontal="center"/>
    </xf>
    <xf numFmtId="0" fontId="0" fillId="2" borderId="5" xfId="0" applyFill="1" applyBorder="1"/>
    <xf numFmtId="0" fontId="0" fillId="2" borderId="0" xfId="0" applyFont="1" applyFill="1" applyAlignment="1"/>
    <xf numFmtId="0" fontId="0" fillId="2" borderId="0" xfId="0" applyFont="1" applyFill="1"/>
    <xf numFmtId="0" fontId="0" fillId="2" borderId="0" xfId="0" applyFont="1" applyFill="1" applyAlignment="1">
      <alignment horizontal="left"/>
    </xf>
    <xf numFmtId="0" fontId="0" fillId="2" borderId="5" xfId="0" applyFont="1" applyFill="1" applyBorder="1"/>
    <xf numFmtId="0" fontId="0" fillId="2" borderId="0" xfId="0" applyFont="1" applyFill="1" applyAlignment="1">
      <alignment horizontal="left" indent="1"/>
    </xf>
    <xf numFmtId="0" fontId="16" fillId="14" borderId="6" xfId="0" applyFont="1" applyFill="1" applyBorder="1" applyAlignment="1">
      <alignment horizontal="center" vertical="center"/>
    </xf>
    <xf numFmtId="0" fontId="16" fillId="14" borderId="6" xfId="0" applyFont="1" applyFill="1" applyBorder="1" applyAlignment="1">
      <alignment horizontal="center" vertical="center" wrapText="1"/>
    </xf>
    <xf numFmtId="0" fontId="0" fillId="2" borderId="29" xfId="0" applyFont="1" applyFill="1" applyBorder="1" applyAlignment="1">
      <alignment horizontal="center"/>
    </xf>
    <xf numFmtId="0" fontId="0" fillId="2" borderId="29" xfId="0" applyFont="1" applyFill="1" applyBorder="1"/>
    <xf numFmtId="0" fontId="0" fillId="2" borderId="27" xfId="0" applyFont="1" applyFill="1" applyBorder="1" applyAlignment="1">
      <alignment horizontal="center"/>
    </xf>
    <xf numFmtId="0" fontId="0" fillId="2" borderId="27" xfId="0" applyFont="1" applyFill="1" applyBorder="1"/>
    <xf numFmtId="0" fontId="0" fillId="2" borderId="27" xfId="0" applyFont="1" applyFill="1" applyBorder="1" applyAlignment="1">
      <alignment horizontal="left"/>
    </xf>
    <xf numFmtId="0" fontId="0" fillId="2" borderId="30" xfId="0" applyFont="1" applyFill="1" applyBorder="1" applyAlignment="1">
      <alignment horizontal="center"/>
    </xf>
    <xf numFmtId="0" fontId="0" fillId="2" borderId="30" xfId="0" applyFont="1" applyFill="1" applyBorder="1"/>
    <xf numFmtId="0" fontId="0" fillId="2" borderId="28" xfId="0" applyFont="1" applyFill="1" applyBorder="1"/>
    <xf numFmtId="0" fontId="25" fillId="2" borderId="0" xfId="0" applyFont="1" applyFill="1" applyBorder="1"/>
    <xf numFmtId="0" fontId="26" fillId="2" borderId="0" xfId="0" applyFont="1" applyFill="1"/>
    <xf numFmtId="0" fontId="24" fillId="2" borderId="0" xfId="0" applyFont="1" applyFill="1"/>
    <xf numFmtId="0" fontId="20" fillId="2" borderId="5" xfId="0" applyFont="1" applyFill="1" applyBorder="1"/>
    <xf numFmtId="0" fontId="12" fillId="6" borderId="0" xfId="0" applyFont="1" applyFill="1" applyAlignment="1">
      <alignment horizontal="center"/>
    </xf>
    <xf numFmtId="0" fontId="1" fillId="10" borderId="0" xfId="0" applyFont="1" applyFill="1" applyAlignment="1">
      <alignment horizontal="center"/>
    </xf>
  </cellXfs>
  <cellStyles count="5">
    <cellStyle name="Comma" xfId="1" builtinId="3"/>
    <cellStyle name="Input" xfId="2" builtinId="20"/>
    <cellStyle name="Normal" xfId="0" builtinId="0"/>
    <cellStyle name="Normal 2" xfId="4"/>
    <cellStyle name="Percent" xfId="3" builtinId="5"/>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6710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347383</xdr:colOff>
      <xdr:row>3</xdr:row>
      <xdr:rowOff>168088</xdr:rowOff>
    </xdr:from>
    <xdr:to>
      <xdr:col>1</xdr:col>
      <xdr:colOff>312719</xdr:colOff>
      <xdr:row>5</xdr:row>
      <xdr:rowOff>48073</xdr:rowOff>
    </xdr:to>
    <xdr:pic>
      <xdr:nvPicPr>
        <xdr:cNvPr id="3" name="Picture 2" descr="Dalberg DashPNG.pn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stretch>
          <a:fillRect/>
        </a:stretch>
      </xdr:blipFill>
      <xdr:spPr>
        <a:xfrm>
          <a:off x="347383" y="739588"/>
          <a:ext cx="391160" cy="260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xdr:row>
          <xdr:rowOff>47625</xdr:rowOff>
        </xdr:from>
        <xdr:to>
          <xdr:col>2</xdr:col>
          <xdr:colOff>38100</xdr:colOff>
          <xdr:row>1</xdr:row>
          <xdr:rowOff>457200</xdr:rowOff>
        </xdr:to>
        <xdr:sp macro="" textlink="">
          <xdr:nvSpPr>
            <xdr:cNvPr id="2049" name="Button 1" hidden="1">
              <a:extLst>
                <a:ext uri="{63B3BB69-23CF-44E3-9099-C40C66FF867C}">
                  <a14:compatExt spid="_x0000_s2049"/>
                </a:ext>
                <a:ext uri="{FF2B5EF4-FFF2-40B4-BE49-F238E27FC236}">
                  <a16:creationId xmlns:a16="http://schemas.microsoft.com/office/drawing/2014/main" xmlns="" id="{00000000-0008-0000-0700-000001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FF"/>
                  </a:solidFill>
                  <a:latin typeface="Calibri"/>
                  <a:cs typeface="Calibri"/>
                </a:rPr>
                <a:t>Refresh contract value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142875</xdr:rowOff>
        </xdr:from>
        <xdr:to>
          <xdr:col>1</xdr:col>
          <xdr:colOff>2466975</xdr:colOff>
          <xdr:row>1</xdr:row>
          <xdr:rowOff>561975</xdr:rowOff>
        </xdr:to>
        <xdr:sp macro="" textlink="">
          <xdr:nvSpPr>
            <xdr:cNvPr id="3073" name="Button 1" hidden="1">
              <a:extLst>
                <a:ext uri="{63B3BB69-23CF-44E3-9099-C40C66FF867C}">
                  <a14:compatExt spid="_x0000_s3073"/>
                </a:ext>
                <a:ext uri="{FF2B5EF4-FFF2-40B4-BE49-F238E27FC236}">
                  <a16:creationId xmlns:a16="http://schemas.microsoft.com/office/drawing/2014/main" xmlns="" id="{00000000-0008-0000-0900-00000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FF"/>
                  </a:solidFill>
                  <a:latin typeface="Calibri"/>
                  <a:cs typeface="Calibri"/>
                </a:rPr>
                <a:t>Refresh Contract Value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6:C12"/>
  <sheetViews>
    <sheetView tabSelected="1" zoomScale="85" zoomScaleNormal="85" workbookViewId="0">
      <selection activeCell="C6" sqref="C6"/>
    </sheetView>
  </sheetViews>
  <sheetFormatPr defaultColWidth="9.140625" defaultRowHeight="15" x14ac:dyDescent="0.25"/>
  <cols>
    <col min="1" max="2" width="6.42578125" style="141" customWidth="1"/>
    <col min="3" max="16384" width="9.140625" style="141"/>
  </cols>
  <sheetData>
    <row r="6" spans="3:3" ht="36" x14ac:dyDescent="0.25">
      <c r="C6" s="176" t="s">
        <v>329</v>
      </c>
    </row>
    <row r="7" spans="3:3" ht="36" x14ac:dyDescent="0.25">
      <c r="C7" s="174"/>
    </row>
    <row r="8" spans="3:3" ht="18.75" x14ac:dyDescent="0.3">
      <c r="C8" s="175"/>
    </row>
    <row r="9" spans="3:3" ht="18.75" x14ac:dyDescent="0.3">
      <c r="C9" s="175"/>
    </row>
    <row r="10" spans="3:3" ht="18.75" x14ac:dyDescent="0.3">
      <c r="C10" s="175"/>
    </row>
    <row r="11" spans="3:3" ht="15.75" customHeight="1" x14ac:dyDescent="0.25">
      <c r="C11" s="177"/>
    </row>
    <row r="12" spans="3:3" ht="15.75" x14ac:dyDescent="0.25">
      <c r="C12" s="17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2:N198"/>
  <sheetViews>
    <sheetView zoomScale="85" zoomScaleNormal="85" workbookViewId="0">
      <pane ySplit="6" topLeftCell="A7" activePane="bottomLeft" state="frozen"/>
      <selection pane="bottomLeft" activeCell="I19" sqref="I19"/>
    </sheetView>
  </sheetViews>
  <sheetFormatPr defaultColWidth="9.140625" defaultRowHeight="12.75" x14ac:dyDescent="0.2"/>
  <cols>
    <col min="1" max="1" width="3.28515625" style="1" customWidth="1"/>
    <col min="2" max="2" width="37.140625" style="1" customWidth="1"/>
    <col min="3" max="3" width="44.140625" style="1" customWidth="1"/>
    <col min="4" max="4" width="17.28515625" style="1" bestFit="1" customWidth="1"/>
    <col min="5" max="10" width="12.85546875" style="1" customWidth="1"/>
    <col min="11" max="16" width="14.28515625" style="1" customWidth="1"/>
    <col min="17" max="16384" width="9.140625" style="1"/>
  </cols>
  <sheetData>
    <row r="2" spans="2:14" ht="57.75" customHeight="1" x14ac:dyDescent="0.2"/>
    <row r="3" spans="2:14" ht="15.75" x14ac:dyDescent="0.25">
      <c r="B3" s="214" t="s">
        <v>303</v>
      </c>
    </row>
    <row r="4" spans="2:14" ht="15" x14ac:dyDescent="0.25">
      <c r="B4" s="75" t="s">
        <v>224</v>
      </c>
    </row>
    <row r="5" spans="2:14" x14ac:dyDescent="0.2">
      <c r="D5" s="195" t="s">
        <v>27</v>
      </c>
      <c r="E5" s="195"/>
      <c r="F5" s="195"/>
      <c r="G5" s="195"/>
      <c r="H5" s="196" t="s">
        <v>20</v>
      </c>
      <c r="I5" s="195"/>
      <c r="J5" s="195"/>
      <c r="K5" s="195"/>
      <c r="L5" s="195" t="s">
        <v>192</v>
      </c>
      <c r="M5" s="193"/>
      <c r="N5" s="193"/>
    </row>
    <row r="6" spans="2:14" x14ac:dyDescent="0.2">
      <c r="B6" s="2"/>
      <c r="C6" s="2"/>
      <c r="E6" s="3">
        <v>0</v>
      </c>
      <c r="F6" s="3">
        <v>1</v>
      </c>
      <c r="G6" s="3">
        <f>F6+1</f>
        <v>2</v>
      </c>
      <c r="H6" s="3">
        <f t="shared" ref="H6:J6" si="0">G6+1</f>
        <v>3</v>
      </c>
      <c r="I6" s="3">
        <f t="shared" si="0"/>
        <v>4</v>
      </c>
      <c r="J6" s="3">
        <f t="shared" si="0"/>
        <v>5</v>
      </c>
    </row>
    <row r="7" spans="2:14" x14ac:dyDescent="0.2">
      <c r="B7" s="2" t="s">
        <v>235</v>
      </c>
    </row>
    <row r="8" spans="2:14" x14ac:dyDescent="0.2">
      <c r="B8" s="2"/>
    </row>
    <row r="9" spans="2:14" x14ac:dyDescent="0.2">
      <c r="B9" s="2"/>
      <c r="C9" s="1" t="s">
        <v>229</v>
      </c>
      <c r="F9" s="5">
        <f>F109</f>
        <v>7.7924700000000007</v>
      </c>
      <c r="G9" s="5">
        <f>G109</f>
        <v>6.2849400000000006</v>
      </c>
      <c r="H9" s="5">
        <f>H109</f>
        <v>4.7774100000000006</v>
      </c>
      <c r="I9" s="5">
        <f>I109</f>
        <v>3.2698800000000006</v>
      </c>
      <c r="J9" s="5">
        <f>J109</f>
        <v>1.7623500000000005</v>
      </c>
    </row>
    <row r="10" spans="2:14" x14ac:dyDescent="0.2">
      <c r="B10" s="2"/>
      <c r="C10" s="1" t="s">
        <v>161</v>
      </c>
      <c r="F10" s="1">
        <f>F171</f>
        <v>3.72</v>
      </c>
      <c r="G10" s="1">
        <f>G171</f>
        <v>2.79</v>
      </c>
      <c r="H10" s="1">
        <f>H171</f>
        <v>1.8599999999999999</v>
      </c>
      <c r="I10" s="1">
        <f>I171</f>
        <v>0.92999999999999983</v>
      </c>
      <c r="J10" s="1">
        <f>J171</f>
        <v>0</v>
      </c>
    </row>
    <row r="11" spans="2:14" x14ac:dyDescent="0.2">
      <c r="B11" s="2"/>
    </row>
    <row r="12" spans="2:14" x14ac:dyDescent="0.2">
      <c r="B12" s="2"/>
    </row>
    <row r="13" spans="2:14" x14ac:dyDescent="0.2">
      <c r="C13" s="23" t="str">
        <f>C184</f>
        <v>Scenario 1, NPV=0, at Y=1</v>
      </c>
      <c r="D13" s="23" t="s">
        <v>28</v>
      </c>
      <c r="F13" s="106">
        <f>F184+(F$9-F$10)/(1+'Key Assumptions'!$N$23)^F$6</f>
        <v>0</v>
      </c>
      <c r="G13" s="118"/>
      <c r="H13" s="118"/>
      <c r="I13" s="118"/>
      <c r="J13" s="118"/>
      <c r="L13" s="1" t="s">
        <v>271</v>
      </c>
    </row>
    <row r="14" spans="2:14" x14ac:dyDescent="0.2">
      <c r="C14" s="23" t="str">
        <f>C185</f>
        <v>Scenario 2, NPV=0, at Y=2</v>
      </c>
      <c r="D14" s="23" t="s">
        <v>28</v>
      </c>
      <c r="F14" s="118">
        <f>F185+(F$9-F$10)/(1+'Key Assumptions'!$N$23)^F$6</f>
        <v>-0.14685284712793356</v>
      </c>
      <c r="G14" s="106">
        <f>G185+(G$9-G$10)/(1+'Key Assumptions'!$N$23)^G$6</f>
        <v>0</v>
      </c>
      <c r="H14" s="118"/>
      <c r="I14" s="118"/>
      <c r="J14" s="118"/>
    </row>
    <row r="15" spans="2:14" x14ac:dyDescent="0.2">
      <c r="C15" s="23" t="str">
        <f>C186</f>
        <v>Scenario 3, NPV=0, at Y=3</v>
      </c>
      <c r="D15" s="23" t="s">
        <v>28</v>
      </c>
      <c r="F15" s="118">
        <f>F186+(F$9-F$10)/(1+'Key Assumptions'!$N$23)^F$6</f>
        <v>-0.2786682157331879</v>
      </c>
      <c r="G15" s="118">
        <f>G186+(G$9-G$10)/(1+'Key Assumptions'!$N$23)^G$6</f>
        <v>-0.24984251873715602</v>
      </c>
      <c r="H15" s="106">
        <f>H186+(H$9-H$10)/(1+'Key Assumptions'!$N$23)^H$6</f>
        <v>0</v>
      </c>
      <c r="I15" s="118"/>
      <c r="J15" s="118"/>
    </row>
    <row r="16" spans="2:14" x14ac:dyDescent="0.2">
      <c r="C16" s="23" t="str">
        <f>C187</f>
        <v>Scenario 4, NPV=0, at Y=4</v>
      </c>
      <c r="D16" s="23" t="s">
        <v>28</v>
      </c>
      <c r="F16" s="118">
        <f>F187+(F$9-F$10)/(1+'Key Assumptions'!$N$23)^F$6</f>
        <v>-0.39689394304387404</v>
      </c>
      <c r="G16" s="118">
        <f>G187+(G$9-G$10)/(1+'Key Assumptions'!$N$23)^G$6</f>
        <v>-0.47392726548084152</v>
      </c>
      <c r="H16" s="118">
        <f>H187+(H$9-H$10)/(1+'Key Assumptions'!$N$23)^H$6</f>
        <v>-0.31887064698913337</v>
      </c>
      <c r="I16" s="106">
        <f>I187+(I$9-I$10)/(1+'Key Assumptions'!$N$23)^I$6</f>
        <v>3.7747582837255322E-15</v>
      </c>
      <c r="J16" s="118"/>
    </row>
    <row r="17" spans="2:12" x14ac:dyDescent="0.2">
      <c r="C17" s="23" t="str">
        <f>C188</f>
        <v>Scenario 5, NPV=0, at Y=5</v>
      </c>
      <c r="D17" s="23" t="s">
        <v>28</v>
      </c>
      <c r="F17" s="118">
        <f>F188+(F$9-F$10)/(1+'Key Assumptions'!$N$23)^F$6</f>
        <v>-0.50284932252330616</v>
      </c>
      <c r="G17" s="118">
        <f>G188+(G$9-G$10)/(1+'Key Assumptions'!$N$23)^G$6</f>
        <v>-0.67475482574938983</v>
      </c>
      <c r="H17" s="118">
        <f>H188+(H$9-H$10)/(1+'Key Assumptions'!$N$23)^H$6</f>
        <v>-0.60464651976341743</v>
      </c>
      <c r="I17" s="118">
        <f>I188+(I$9-I$10)/(1+'Key Assumptions'!$N$23)^I$6</f>
        <v>-0.36183837853255407</v>
      </c>
      <c r="J17" s="106">
        <f>J188+(J$9-J$10)/(1+'Key Assumptions'!$N$23)^J$6</f>
        <v>1.2212453270876722E-15</v>
      </c>
    </row>
    <row r="20" spans="2:12" x14ac:dyDescent="0.2">
      <c r="C20" s="33"/>
      <c r="D20" s="33"/>
      <c r="F20" s="73"/>
      <c r="G20" s="73"/>
      <c r="H20" s="73"/>
      <c r="I20" s="73"/>
      <c r="J20" s="73"/>
    </row>
    <row r="21" spans="2:12" x14ac:dyDescent="0.2">
      <c r="C21" s="33"/>
      <c r="D21" s="33"/>
      <c r="F21" s="73"/>
      <c r="G21" s="73"/>
      <c r="H21" s="73"/>
      <c r="I21" s="73"/>
      <c r="J21" s="73"/>
    </row>
    <row r="22" spans="2:12" x14ac:dyDescent="0.2">
      <c r="B22" s="2" t="s">
        <v>180</v>
      </c>
      <c r="F22" s="218" t="s">
        <v>152</v>
      </c>
      <c r="G22" s="218"/>
      <c r="H22" s="218"/>
      <c r="I22" s="218"/>
      <c r="J22" s="218"/>
    </row>
    <row r="23" spans="2:12" x14ac:dyDescent="0.2">
      <c r="F23" s="83" t="s">
        <v>153</v>
      </c>
      <c r="G23" s="83" t="s">
        <v>154</v>
      </c>
      <c r="H23" s="83" t="s">
        <v>155</v>
      </c>
      <c r="I23" s="83" t="s">
        <v>156</v>
      </c>
      <c r="J23" s="83" t="s">
        <v>157</v>
      </c>
    </row>
    <row r="24" spans="2:12" x14ac:dyDescent="0.2">
      <c r="C24" s="23" t="str">
        <f>C13</f>
        <v>Scenario 1, NPV=0, at Y=1</v>
      </c>
      <c r="D24" s="23" t="s">
        <v>28</v>
      </c>
      <c r="E24" s="23"/>
      <c r="F24" s="140">
        <f>F67</f>
        <v>17.8793875</v>
      </c>
      <c r="G24" s="119"/>
      <c r="H24" s="119"/>
      <c r="I24" s="119"/>
      <c r="J24" s="119"/>
      <c r="L24" s="1" t="s">
        <v>272</v>
      </c>
    </row>
    <row r="25" spans="2:12" x14ac:dyDescent="0.2">
      <c r="C25" s="23" t="str">
        <f t="shared" ref="C25:C28" si="1">C14</f>
        <v>Scenario 2, NPV=0, at Y=2</v>
      </c>
      <c r="D25" s="23" t="s">
        <v>28</v>
      </c>
      <c r="E25" s="23"/>
      <c r="F25" s="85">
        <f>F68</f>
        <v>17.66002605960265</v>
      </c>
      <c r="G25" s="97">
        <f>AVERAGE(F68:G68)</f>
        <v>18.278126971688742</v>
      </c>
      <c r="H25" s="119"/>
      <c r="I25" s="119"/>
      <c r="J25" s="119"/>
    </row>
    <row r="26" spans="2:12" x14ac:dyDescent="0.2">
      <c r="C26" s="23" t="str">
        <f t="shared" si="1"/>
        <v>Scenario 3, NPV=0, at Y=3</v>
      </c>
      <c r="D26" s="23" t="s">
        <v>28</v>
      </c>
      <c r="E26" s="23"/>
      <c r="F26" s="85">
        <f>F69</f>
        <v>17.463126852748552</v>
      </c>
      <c r="G26" s="119">
        <f>AVERAGE(F69:G69)</f>
        <v>18.074336292594751</v>
      </c>
      <c r="H26" s="97">
        <f>AVERAGE(F69:H69)</f>
        <v>18.714068839633772</v>
      </c>
      <c r="I26" s="119"/>
      <c r="J26" s="119"/>
    </row>
    <row r="27" spans="2:12" x14ac:dyDescent="0.2">
      <c r="C27" s="23" t="str">
        <f t="shared" si="1"/>
        <v>Scenario 4, NPV=0, at Y=4</v>
      </c>
      <c r="D27" s="23" t="s">
        <v>28</v>
      </c>
      <c r="E27" s="23"/>
      <c r="F27" s="85">
        <f>F70</f>
        <v>17.286527172578214</v>
      </c>
      <c r="G27" s="119">
        <f>AVERAGE(F70:G70)</f>
        <v>17.891555623618451</v>
      </c>
      <c r="H27" s="119">
        <f>AVERAGE(F70:H70)</f>
        <v>18.524818735707232</v>
      </c>
      <c r="I27" s="97">
        <f>AVERAGE(F70:I70)</f>
        <v>19.18779882854961</v>
      </c>
      <c r="J27" s="119">
        <f>AVERAGE(F70:J70)</f>
        <v>19.882061231754108</v>
      </c>
    </row>
    <row r="28" spans="2:12" x14ac:dyDescent="0.2">
      <c r="C28" s="23" t="str">
        <f t="shared" si="1"/>
        <v>Scenario 5, NPV=0, at Y=5</v>
      </c>
      <c r="D28" s="23" t="s">
        <v>28</v>
      </c>
      <c r="E28" s="23"/>
      <c r="F28" s="85">
        <f>F71</f>
        <v>17.128256324480812</v>
      </c>
      <c r="G28" s="119">
        <f>AVERAGE(F71:G71)</f>
        <v>17.727745295837639</v>
      </c>
      <c r="H28" s="119">
        <f>AVERAGE(F71:H71)</f>
        <v>18.355210419191121</v>
      </c>
      <c r="I28" s="119">
        <f>AVERAGE(F71:I71)</f>
        <v>19.012120442521077</v>
      </c>
      <c r="J28" s="97">
        <f>AVERAGE(F71:J71)</f>
        <v>19.700026363694203</v>
      </c>
    </row>
    <row r="31" spans="2:12" x14ac:dyDescent="0.2">
      <c r="B31" s="2" t="s">
        <v>222</v>
      </c>
      <c r="C31" s="69"/>
      <c r="D31" s="69"/>
      <c r="E31" s="69"/>
      <c r="F31" s="69"/>
      <c r="G31" s="69"/>
      <c r="H31" s="69"/>
      <c r="I31" s="69"/>
    </row>
    <row r="32" spans="2:12" x14ac:dyDescent="0.2">
      <c r="C32" s="23" t="str">
        <f>C24</f>
        <v>Scenario 1, NPV=0, at Y=1</v>
      </c>
      <c r="D32" s="23" t="s">
        <v>213</v>
      </c>
      <c r="E32" s="78"/>
      <c r="F32" s="96">
        <f>F24/('Key Assumptions'!$N$28*'Key Assumptions'!$N$31)*10^5</f>
        <v>294.84478067282322</v>
      </c>
      <c r="G32" s="120">
        <f>G24/('Key Assumptions'!$N$28*'Key Assumptions'!$N$31)*10^5</f>
        <v>0</v>
      </c>
      <c r="H32" s="120">
        <f>H24/('Key Assumptions'!$N$28*'Key Assumptions'!$N$31)*10^5</f>
        <v>0</v>
      </c>
      <c r="I32" s="120">
        <f>I24/('Key Assumptions'!$N$28*'Key Assumptions'!$N$31)*10^5</f>
        <v>0</v>
      </c>
      <c r="J32" s="120">
        <f>J24/('Key Assumptions'!$N$28*'Key Assumptions'!$N$31)*10^5</f>
        <v>0</v>
      </c>
      <c r="L32" s="1" t="s">
        <v>264</v>
      </c>
    </row>
    <row r="33" spans="2:12" x14ac:dyDescent="0.2">
      <c r="C33" s="23" t="str">
        <f t="shared" ref="C33:C36" si="2">C25</f>
        <v>Scenario 2, NPV=0, at Y=2</v>
      </c>
      <c r="D33" s="23" t="s">
        <v>213</v>
      </c>
      <c r="E33" s="78"/>
      <c r="F33" s="120">
        <f>F25/('Key Assumptions'!$N$28*'Key Assumptions'!$N$31)*10^5</f>
        <v>291.22734267154766</v>
      </c>
      <c r="G33" s="96">
        <f>G25/('Key Assumptions'!$N$28*'Key Assumptions'!$N$31)*10^5</f>
        <v>301.42029966505186</v>
      </c>
      <c r="H33" s="120">
        <f>H25/('Key Assumptions'!$N$28*'Key Assumptions'!$N$31)*10^5</f>
        <v>0</v>
      </c>
      <c r="I33" s="120">
        <f>I25/('Key Assumptions'!$N$28*'Key Assumptions'!$N$31)*10^5</f>
        <v>0</v>
      </c>
      <c r="J33" s="120">
        <f>J25/('Key Assumptions'!$N$28*'Key Assumptions'!$N$31)*10^5</f>
        <v>0</v>
      </c>
    </row>
    <row r="34" spans="2:12" x14ac:dyDescent="0.2">
      <c r="C34" s="23" t="str">
        <f t="shared" si="2"/>
        <v>Scenario 3, NPV=0, at Y=3</v>
      </c>
      <c r="D34" s="23" t="s">
        <v>213</v>
      </c>
      <c r="E34" s="78"/>
      <c r="F34" s="120">
        <f>F26/('Key Assumptions'!$N$28*'Key Assumptions'!$N$31)*10^5</f>
        <v>287.98032408886138</v>
      </c>
      <c r="G34" s="120">
        <f>G26/('Key Assumptions'!$N$28*'Key Assumptions'!$N$31)*10^5</f>
        <v>298.05963543197151</v>
      </c>
      <c r="H34" s="96">
        <f>H26/('Key Assumptions'!$N$28*'Key Assumptions'!$N$31)*10^5</f>
        <v>308.60931463776006</v>
      </c>
      <c r="I34" s="120">
        <f>I26/('Key Assumptions'!$N$28*'Key Assumptions'!$N$31)*10^5</f>
        <v>0</v>
      </c>
      <c r="J34" s="120">
        <f>J26/('Key Assumptions'!$N$28*'Key Assumptions'!$N$31)*10^5</f>
        <v>0</v>
      </c>
    </row>
    <row r="35" spans="2:12" x14ac:dyDescent="0.2">
      <c r="C35" s="23" t="str">
        <f t="shared" si="2"/>
        <v>Scenario 4, NPV=0, at Y=4</v>
      </c>
      <c r="D35" s="23" t="s">
        <v>213</v>
      </c>
      <c r="E35" s="78"/>
      <c r="F35" s="120">
        <f>F27/('Key Assumptions'!$N$28*'Key Assumptions'!$N$31)*10^5</f>
        <v>285.0680602338096</v>
      </c>
      <c r="G35" s="120">
        <f>G27/('Key Assumptions'!$N$28*'Key Assumptions'!$N$31)*10^5</f>
        <v>295.04544234199295</v>
      </c>
      <c r="H35" s="120">
        <f>H27/('Key Assumptions'!$N$28*'Key Assumptions'!$N$31)*10^5</f>
        <v>305.48843561522477</v>
      </c>
      <c r="I35" s="96">
        <f>I27/('Key Assumptions'!$N$28*'Key Assumptions'!$N$31)*10^5</f>
        <v>316.42148463967033</v>
      </c>
      <c r="J35" s="120">
        <f>J27/('Key Assumptions'!$N$28*'Key Assumptions'!$N$31)*10^5</f>
        <v>327.87040289831975</v>
      </c>
    </row>
    <row r="36" spans="2:12" x14ac:dyDescent="0.2">
      <c r="C36" s="23" t="str">
        <f t="shared" si="2"/>
        <v>Scenario 5, NPV=0, at Y=5</v>
      </c>
      <c r="D36" s="23" t="s">
        <v>213</v>
      </c>
      <c r="E36" s="78"/>
      <c r="F36" s="120">
        <f>F28/('Key Assumptions'!$N$28*'Key Assumptions'!$N$31)*10^5</f>
        <v>282.45805284434061</v>
      </c>
      <c r="G36" s="120">
        <f>G28/('Key Assumptions'!$N$28*'Key Assumptions'!$N$31)*10^5</f>
        <v>292.34408469389246</v>
      </c>
      <c r="H36" s="120">
        <f>H28/('Key Assumptions'!$N$28*'Key Assumptions'!$N$31)*10^5</f>
        <v>302.69146469642345</v>
      </c>
      <c r="I36" s="120">
        <f>I28/('Key Assumptions'!$N$28*'Key Assumptions'!$N$31)*10^5</f>
        <v>313.52441362996501</v>
      </c>
      <c r="J36" s="96">
        <f>J28/('Key Assumptions'!$N$28*'Key Assumptions'!$N$31)*10^5</f>
        <v>324.86850863611812</v>
      </c>
    </row>
    <row r="38" spans="2:12" x14ac:dyDescent="0.2">
      <c r="B38" s="2" t="s">
        <v>244</v>
      </c>
    </row>
    <row r="39" spans="2:12" x14ac:dyDescent="0.2">
      <c r="C39" s="23" t="s">
        <v>147</v>
      </c>
      <c r="D39" s="23" t="s">
        <v>245</v>
      </c>
      <c r="E39" s="78"/>
      <c r="F39" s="96">
        <f>(F24/('Key Assumptions'!$N$31*(('Key Assumptions'!$N$33*'Key Assumptions'!$N$35)+'Key Assumptions'!$N$32))*10^5)</f>
        <v>216.45747578692493</v>
      </c>
      <c r="G39" s="120">
        <f>(G24/('Key Assumptions'!$N$31*(('Key Assumptions'!$N$33*'Key Assumptions'!$N$35)+'Key Assumptions'!$N$32))*10^5)</f>
        <v>0</v>
      </c>
      <c r="H39" s="120">
        <f>(H24/('Key Assumptions'!$N$31*(('Key Assumptions'!$N$33*'Key Assumptions'!$N$35)+'Key Assumptions'!$N$32))*10^5)</f>
        <v>0</v>
      </c>
      <c r="I39" s="120">
        <f>(I24/('Key Assumptions'!$N$31*(('Key Assumptions'!$N$33*'Key Assumptions'!$N$35)+'Key Assumptions'!$N$32))*10^5)</f>
        <v>0</v>
      </c>
      <c r="J39" s="120">
        <f>(J24/('Key Assumptions'!$N$31*(('Key Assumptions'!$N$33*'Key Assumptions'!$N$35)+'Key Assumptions'!$N$32))*10^5)</f>
        <v>0</v>
      </c>
      <c r="L39" s="1" t="s">
        <v>265</v>
      </c>
    </row>
    <row r="40" spans="2:12" x14ac:dyDescent="0.2">
      <c r="C40" s="23" t="s">
        <v>148</v>
      </c>
      <c r="D40" s="23" t="s">
        <v>245</v>
      </c>
      <c r="E40" s="78"/>
      <c r="F40" s="120">
        <f>(F25/('Key Assumptions'!$N$31*(('Key Assumptions'!$N$33*'Key Assumptions'!$N$35)+'Key Assumptions'!$N$32))*10^5)</f>
        <v>213.80176827606113</v>
      </c>
      <c r="G40" s="96">
        <f>(G25/('Key Assumptions'!$N$31*(('Key Assumptions'!$N$33*'Key Assumptions'!$N$35)+'Key Assumptions'!$N$32))*10^5)</f>
        <v>221.28483016572326</v>
      </c>
      <c r="H40" s="120">
        <f>(H25/('Key Assumptions'!$N$31*(('Key Assumptions'!$N$33*'Key Assumptions'!$N$35)+'Key Assumptions'!$N$32))*10^5)</f>
        <v>0</v>
      </c>
      <c r="I40" s="120">
        <f>(I25/('Key Assumptions'!$N$31*(('Key Assumptions'!$N$33*'Key Assumptions'!$N$35)+'Key Assumptions'!$N$32))*10^5)</f>
        <v>0</v>
      </c>
      <c r="J40" s="120">
        <f>(J25/('Key Assumptions'!$N$31*(('Key Assumptions'!$N$33*'Key Assumptions'!$N$35)+'Key Assumptions'!$N$32))*10^5)</f>
        <v>0</v>
      </c>
    </row>
    <row r="41" spans="2:12" x14ac:dyDescent="0.2">
      <c r="C41" s="23" t="s">
        <v>149</v>
      </c>
      <c r="D41" s="23" t="s">
        <v>245</v>
      </c>
      <c r="E41" s="78"/>
      <c r="F41" s="120">
        <f>(F26/('Key Assumptions'!$N$31*(('Key Assumptions'!$N$33*'Key Assumptions'!$N$35)+'Key Assumptions'!$N$32))*10^5)</f>
        <v>211.41800063860231</v>
      </c>
      <c r="G41" s="120">
        <f>(G26/('Key Assumptions'!$N$31*(('Key Assumptions'!$N$33*'Key Assumptions'!$N$35)+'Key Assumptions'!$N$32))*10^5)</f>
        <v>218.81763066095343</v>
      </c>
      <c r="H41" s="96">
        <f>(H26/('Key Assumptions'!$N$31*(('Key Assumptions'!$N$33*'Key Assumptions'!$N$35)+'Key Assumptions'!$N$32))*10^5)</f>
        <v>226.56257675101418</v>
      </c>
      <c r="I41" s="120">
        <f>(I26/('Key Assumptions'!$N$31*(('Key Assumptions'!$N$33*'Key Assumptions'!$N$35)+'Key Assumptions'!$N$32))*10^5)</f>
        <v>0</v>
      </c>
      <c r="J41" s="120">
        <f>(J26/('Key Assumptions'!$N$31*(('Key Assumptions'!$N$33*'Key Assumptions'!$N$35)+'Key Assumptions'!$N$32))*10^5)</f>
        <v>0</v>
      </c>
    </row>
    <row r="42" spans="2:12" x14ac:dyDescent="0.2">
      <c r="C42" s="23" t="s">
        <v>150</v>
      </c>
      <c r="D42" s="23" t="s">
        <v>245</v>
      </c>
      <c r="E42" s="78"/>
      <c r="F42" s="120">
        <f>(F27/('Key Assumptions'!$N$31*(('Key Assumptions'!$N$33*'Key Assumptions'!$N$35)+'Key Assumptions'!$N$32))*10^5)</f>
        <v>209.27998998278707</v>
      </c>
      <c r="G42" s="120">
        <f>(G27/('Key Assumptions'!$N$31*(('Key Assumptions'!$N$33*'Key Assumptions'!$N$35)+'Key Assumptions'!$N$32))*10^5)</f>
        <v>216.60478963218466</v>
      </c>
      <c r="H42" s="120">
        <f>(H27/('Key Assumptions'!$N$31*(('Key Assumptions'!$N$33*'Key Assumptions'!$N$35)+'Key Assumptions'!$N$32))*10^5)</f>
        <v>224.27141326522073</v>
      </c>
      <c r="I42" s="96">
        <f>(I27/('Key Assumptions'!$N$31*(('Key Assumptions'!$N$33*'Key Assumptions'!$N$35)+'Key Assumptions'!$N$32))*10^5)</f>
        <v>232.29780664103646</v>
      </c>
      <c r="J42" s="120">
        <f>(J27/('Key Assumptions'!$N$31*(('Key Assumptions'!$N$33*'Key Assumptions'!$N$35)+'Key Assumptions'!$N$32))*10^5)</f>
        <v>240.70292048128462</v>
      </c>
    </row>
    <row r="43" spans="2:12" x14ac:dyDescent="0.2">
      <c r="C43" s="23" t="s">
        <v>151</v>
      </c>
      <c r="D43" s="23" t="s">
        <v>245</v>
      </c>
      <c r="E43" s="78"/>
      <c r="F43" s="120">
        <f>(F28/('Key Assumptions'!$N$31*(('Key Assumptions'!$N$33*'Key Assumptions'!$N$35)+'Key Assumptions'!$N$32))*10^5)</f>
        <v>207.36387802034884</v>
      </c>
      <c r="G43" s="120">
        <f>(G28/('Key Assumptions'!$N$31*(('Key Assumptions'!$N$33*'Key Assumptions'!$N$35)+'Key Assumptions'!$N$32))*10^5)</f>
        <v>214.62161375106101</v>
      </c>
      <c r="H43" s="120">
        <f>(H28/('Key Assumptions'!$N$31*(('Key Assumptions'!$N$33*'Key Assumptions'!$N$35)+'Key Assumptions'!$N$32))*10^5)</f>
        <v>222.21804381587313</v>
      </c>
      <c r="I43" s="120">
        <f>(I28/('Key Assumptions'!$N$31*(('Key Assumptions'!$N$33*'Key Assumptions'!$N$35)+'Key Assumptions'!$N$32))*10^5)</f>
        <v>230.1709496673254</v>
      </c>
      <c r="J43" s="96">
        <f>(J28/('Key Assumptions'!$N$31*(('Key Assumptions'!$N$33*'Key Assumptions'!$N$35)+'Key Assumptions'!$N$32))*10^5)</f>
        <v>238.49910851930028</v>
      </c>
    </row>
    <row r="45" spans="2:12" x14ac:dyDescent="0.2">
      <c r="B45" s="2" t="s">
        <v>246</v>
      </c>
    </row>
    <row r="46" spans="2:12" x14ac:dyDescent="0.2">
      <c r="C46" s="23" t="s">
        <v>147</v>
      </c>
      <c r="D46" s="23" t="s">
        <v>245</v>
      </c>
      <c r="E46" s="78"/>
      <c r="F46" s="96">
        <f>F39*'Key Assumptions'!$N$35</f>
        <v>259.74897094430992</v>
      </c>
      <c r="G46" s="120">
        <f>G39*'Key Assumptions'!$N$35</f>
        <v>0</v>
      </c>
      <c r="H46" s="120">
        <f>H39*'Key Assumptions'!$N$35</f>
        <v>0</v>
      </c>
      <c r="I46" s="120">
        <f>I39*'Key Assumptions'!$N$35</f>
        <v>0</v>
      </c>
      <c r="J46" s="120">
        <f>J39*'Key Assumptions'!$N$35</f>
        <v>0</v>
      </c>
      <c r="L46" s="1" t="s">
        <v>266</v>
      </c>
    </row>
    <row r="47" spans="2:12" x14ac:dyDescent="0.2">
      <c r="C47" s="23" t="s">
        <v>148</v>
      </c>
      <c r="D47" s="23" t="s">
        <v>245</v>
      </c>
      <c r="E47" s="78"/>
      <c r="F47" s="120">
        <f>F40*'Key Assumptions'!$N$35</f>
        <v>256.56212193127334</v>
      </c>
      <c r="G47" s="96">
        <f>G40*'Key Assumptions'!$N$35</f>
        <v>265.54179619886793</v>
      </c>
      <c r="H47" s="120">
        <f>H40*'Key Assumptions'!$N$35</f>
        <v>0</v>
      </c>
      <c r="I47" s="120">
        <f>I40*'Key Assumptions'!$N$35</f>
        <v>0</v>
      </c>
      <c r="J47" s="120">
        <f>J40*'Key Assumptions'!$N$35</f>
        <v>0</v>
      </c>
    </row>
    <row r="48" spans="2:12" x14ac:dyDescent="0.2">
      <c r="C48" s="23" t="s">
        <v>149</v>
      </c>
      <c r="D48" s="23" t="s">
        <v>245</v>
      </c>
      <c r="E48" s="78"/>
      <c r="F48" s="120">
        <f>F41*'Key Assumptions'!$N$35</f>
        <v>253.70160076632277</v>
      </c>
      <c r="G48" s="120">
        <f>G41*'Key Assumptions'!$N$35</f>
        <v>262.58115679314409</v>
      </c>
      <c r="H48" s="96">
        <f>H41*'Key Assumptions'!$N$35</f>
        <v>271.87509210121698</v>
      </c>
      <c r="I48" s="120">
        <f>I41*'Key Assumptions'!$N$35</f>
        <v>0</v>
      </c>
      <c r="J48" s="120">
        <f>J41*'Key Assumptions'!$N$35</f>
        <v>0</v>
      </c>
    </row>
    <row r="49" spans="2:12" x14ac:dyDescent="0.2">
      <c r="C49" s="23" t="s">
        <v>150</v>
      </c>
      <c r="D49" s="23" t="s">
        <v>245</v>
      </c>
      <c r="E49" s="78"/>
      <c r="F49" s="120">
        <f>F42*'Key Assumptions'!$N$35</f>
        <v>251.13598797934446</v>
      </c>
      <c r="G49" s="120">
        <f>G42*'Key Assumptions'!$N$35</f>
        <v>259.92574755862159</v>
      </c>
      <c r="H49" s="120">
        <f>H42*'Key Assumptions'!$N$35</f>
        <v>269.12569591826485</v>
      </c>
      <c r="I49" s="96">
        <f>I42*'Key Assumptions'!$N$35</f>
        <v>278.75736796924372</v>
      </c>
      <c r="J49" s="120">
        <f>J42*'Key Assumptions'!$N$35</f>
        <v>288.84350457754152</v>
      </c>
    </row>
    <row r="50" spans="2:12" x14ac:dyDescent="0.2">
      <c r="C50" s="23" t="s">
        <v>151</v>
      </c>
      <c r="D50" s="23" t="s">
        <v>245</v>
      </c>
      <c r="E50" s="78"/>
      <c r="F50" s="120">
        <f>F43*'Key Assumptions'!$N$35</f>
        <v>248.8366536244186</v>
      </c>
      <c r="G50" s="120">
        <f>G43*'Key Assumptions'!$N$35</f>
        <v>257.54593650127322</v>
      </c>
      <c r="H50" s="120">
        <f>H43*'Key Assumptions'!$N$35</f>
        <v>266.66165257904777</v>
      </c>
      <c r="I50" s="120">
        <f>I43*'Key Assumptions'!$N$35</f>
        <v>276.20513960079046</v>
      </c>
      <c r="J50" s="96">
        <f>J43*'Key Assumptions'!$N$35</f>
        <v>286.19893022316035</v>
      </c>
    </row>
    <row r="51" spans="2:12" x14ac:dyDescent="0.2">
      <c r="D51" s="4"/>
    </row>
    <row r="52" spans="2:12" s="180" customFormat="1" ht="15.75" customHeight="1" x14ac:dyDescent="0.25">
      <c r="B52" s="181" t="s">
        <v>317</v>
      </c>
      <c r="C52" s="181"/>
      <c r="D52" s="194"/>
      <c r="E52" s="181"/>
      <c r="F52" s="181"/>
      <c r="G52" s="181"/>
      <c r="H52" s="181"/>
      <c r="I52" s="181"/>
      <c r="J52" s="181"/>
      <c r="K52" s="181"/>
    </row>
    <row r="53" spans="2:12" x14ac:dyDescent="0.2">
      <c r="B53" s="2" t="s">
        <v>140</v>
      </c>
    </row>
    <row r="54" spans="2:12" x14ac:dyDescent="0.2">
      <c r="C54" s="23" t="s">
        <v>21</v>
      </c>
      <c r="D54" s="23" t="s">
        <v>28</v>
      </c>
      <c r="E54" s="66">
        <f>'Capital cost estimates'!D10</f>
        <v>9</v>
      </c>
      <c r="L54" s="1" t="s">
        <v>254</v>
      </c>
    </row>
    <row r="55" spans="2:12" x14ac:dyDescent="0.2">
      <c r="C55" s="23" t="s">
        <v>22</v>
      </c>
      <c r="D55" s="23" t="s">
        <v>28</v>
      </c>
      <c r="E55" s="66">
        <f>'Capital cost estimates'!D22</f>
        <v>0.15000000000000002</v>
      </c>
    </row>
    <row r="56" spans="2:12" x14ac:dyDescent="0.2">
      <c r="C56" s="23" t="s">
        <v>23</v>
      </c>
      <c r="D56" s="23" t="s">
        <v>28</v>
      </c>
      <c r="E56" s="66">
        <f>'Capital cost estimates'!D26</f>
        <v>0.15000000000000002</v>
      </c>
    </row>
    <row r="57" spans="2:12" x14ac:dyDescent="0.2">
      <c r="C57" s="23" t="s">
        <v>306</v>
      </c>
      <c r="D57" s="23" t="s">
        <v>28</v>
      </c>
      <c r="E57" s="66">
        <v>0</v>
      </c>
    </row>
    <row r="58" spans="2:12" x14ac:dyDescent="0.2">
      <c r="C58" s="23" t="s">
        <v>24</v>
      </c>
      <c r="D58" s="23" t="s">
        <v>28</v>
      </c>
      <c r="E58" s="67">
        <f>SUM(E54:E56)</f>
        <v>9.3000000000000007</v>
      </c>
    </row>
    <row r="60" spans="2:12" x14ac:dyDescent="0.2">
      <c r="B60" s="2" t="s">
        <v>177</v>
      </c>
      <c r="L60" s="1" t="s">
        <v>254</v>
      </c>
    </row>
    <row r="61" spans="2:12" x14ac:dyDescent="0.2">
      <c r="C61" s="23" t="s">
        <v>25</v>
      </c>
      <c r="D61" s="23" t="s">
        <v>28</v>
      </c>
      <c r="E61" s="66">
        <f>'Capital cost estimates'!D31</f>
        <v>0.5</v>
      </c>
    </row>
    <row r="62" spans="2:12" x14ac:dyDescent="0.2">
      <c r="C62" s="23" t="s">
        <v>182</v>
      </c>
      <c r="D62" s="23" t="s">
        <v>28</v>
      </c>
      <c r="E62" s="66">
        <f>'Capital cost estimates'!D32</f>
        <v>0.1</v>
      </c>
    </row>
    <row r="63" spans="2:12" x14ac:dyDescent="0.2">
      <c r="C63" s="23" t="s">
        <v>26</v>
      </c>
      <c r="D63" s="23" t="s">
        <v>28</v>
      </c>
      <c r="E63" s="66">
        <f>'Capital cost estimates'!D33</f>
        <v>0.1</v>
      </c>
    </row>
    <row r="64" spans="2:12" x14ac:dyDescent="0.2">
      <c r="C64" s="61" t="s">
        <v>24</v>
      </c>
      <c r="D64" s="61" t="s">
        <v>28</v>
      </c>
      <c r="E64" s="68">
        <f>'Capital cost estimates'!D34</f>
        <v>0.7</v>
      </c>
      <c r="I64" s="1" t="s">
        <v>113</v>
      </c>
    </row>
    <row r="65" spans="2:12" x14ac:dyDescent="0.2">
      <c r="B65" s="3" t="s">
        <v>181</v>
      </c>
    </row>
    <row r="66" spans="2:12" x14ac:dyDescent="0.2">
      <c r="B66" s="2" t="s">
        <v>115</v>
      </c>
    </row>
    <row r="67" spans="2:12" x14ac:dyDescent="0.2">
      <c r="C67" s="23" t="str">
        <f>'Key Assumptions'!M40</f>
        <v>Scenario 1, NPV=0, at Y=1</v>
      </c>
      <c r="D67" s="23" t="s">
        <v>28</v>
      </c>
      <c r="E67" s="23"/>
      <c r="F67" s="66">
        <f>F$96*(1+'Key Assumptions'!$N40)</f>
        <v>17.8793875</v>
      </c>
      <c r="G67" s="66">
        <f>G$96*(1+'Key Assumptions'!$N40)</f>
        <v>19.130944625000001</v>
      </c>
      <c r="H67" s="66">
        <f>H$96*(1+'Key Assumptions'!$N40)</f>
        <v>20.470110748750006</v>
      </c>
      <c r="I67" s="66">
        <f>I$96*(1+'Key Assumptions'!$N40)</f>
        <v>21.903018501162506</v>
      </c>
      <c r="J67" s="66">
        <f>J$96*(1+'Key Assumptions'!$N40)</f>
        <v>23.436229796243879</v>
      </c>
      <c r="K67" s="73"/>
      <c r="L67" s="1" t="s">
        <v>267</v>
      </c>
    </row>
    <row r="68" spans="2:12" x14ac:dyDescent="0.2">
      <c r="C68" s="23" t="str">
        <f>'Key Assumptions'!M41</f>
        <v>Scenario 2, NPV=0, at Y=2</v>
      </c>
      <c r="D68" s="23" t="s">
        <v>28</v>
      </c>
      <c r="E68" s="23"/>
      <c r="F68" s="66">
        <f>F$96*(1+'Key Assumptions'!$N41)</f>
        <v>17.66002605960265</v>
      </c>
      <c r="G68" s="66">
        <f>G$96*(1+'Key Assumptions'!$N41)</f>
        <v>18.896227883774834</v>
      </c>
      <c r="H68" s="66">
        <f>H$96*(1+'Key Assumptions'!$N41)</f>
        <v>20.218963835639077</v>
      </c>
      <c r="I68" s="66">
        <f>I$96*(1+'Key Assumptions'!$N41)</f>
        <v>21.634291304133814</v>
      </c>
      <c r="J68" s="66">
        <f>J$96*(1+'Key Assumptions'!$N41)</f>
        <v>23.148691695423178</v>
      </c>
    </row>
    <row r="69" spans="2:12" x14ac:dyDescent="0.2">
      <c r="C69" s="23" t="str">
        <f>'Key Assumptions'!M42</f>
        <v>Scenario 3, NPV=0, at Y=3</v>
      </c>
      <c r="D69" s="23" t="s">
        <v>28</v>
      </c>
      <c r="E69" s="23"/>
      <c r="F69" s="66">
        <f>F$96*(1+'Key Assumptions'!$N42)</f>
        <v>17.463126852748552</v>
      </c>
      <c r="G69" s="66">
        <f>G$96*(1+'Key Assumptions'!$N42)</f>
        <v>18.68554573244095</v>
      </c>
      <c r="H69" s="66">
        <f>H$96*(1+'Key Assumptions'!$N42)</f>
        <v>19.99353393371182</v>
      </c>
      <c r="I69" s="66">
        <f>I$96*(1+'Key Assumptions'!$N42)</f>
        <v>21.393081309071651</v>
      </c>
      <c r="J69" s="66">
        <f>J$96*(1+'Key Assumptions'!$N42)</f>
        <v>22.890597000706663</v>
      </c>
    </row>
    <row r="70" spans="2:12" x14ac:dyDescent="0.2">
      <c r="C70" s="23" t="str">
        <f>'Key Assumptions'!M43</f>
        <v>Scenario 4, NPV=0, at Y=4</v>
      </c>
      <c r="D70" s="23" t="s">
        <v>28</v>
      </c>
      <c r="E70" s="23"/>
      <c r="F70" s="66">
        <f>F$96*(1+'Key Assumptions'!$N43)</f>
        <v>17.286527172578214</v>
      </c>
      <c r="G70" s="66">
        <f>G$96*(1+'Key Assumptions'!$N43)</f>
        <v>18.496584074658688</v>
      </c>
      <c r="H70" s="66">
        <f>H$96*(1+'Key Assumptions'!$N43)</f>
        <v>19.7913449598848</v>
      </c>
      <c r="I70" s="66">
        <f>I$96*(1+'Key Assumptions'!$N43)</f>
        <v>21.176739107076738</v>
      </c>
      <c r="J70" s="66">
        <f>J$96*(1+'Key Assumptions'!$N43)</f>
        <v>22.659110844572105</v>
      </c>
    </row>
    <row r="71" spans="2:12" x14ac:dyDescent="0.2">
      <c r="C71" s="23" t="str">
        <f>'Key Assumptions'!M44</f>
        <v>Scenario 5, NPV=0, at Y=5</v>
      </c>
      <c r="D71" s="23" t="s">
        <v>28</v>
      </c>
      <c r="E71" s="23"/>
      <c r="F71" s="66">
        <f>F$96*(1+'Key Assumptions'!$N44)</f>
        <v>17.128256324480812</v>
      </c>
      <c r="G71" s="66">
        <f>G$96*(1+'Key Assumptions'!$N44)</f>
        <v>18.327234267194466</v>
      </c>
      <c r="H71" s="66">
        <f>H$96*(1+'Key Assumptions'!$N44)</f>
        <v>19.610140665898083</v>
      </c>
      <c r="I71" s="66">
        <f>I$96*(1+'Key Assumptions'!$N44)</f>
        <v>20.98285051251095</v>
      </c>
      <c r="J71" s="66">
        <f>J$96*(1+'Key Assumptions'!$N44)</f>
        <v>22.451650048386714</v>
      </c>
    </row>
    <row r="75" spans="2:12" x14ac:dyDescent="0.2">
      <c r="B75" s="2" t="s">
        <v>172</v>
      </c>
    </row>
    <row r="76" spans="2:12" x14ac:dyDescent="0.2">
      <c r="C76" s="23" t="s">
        <v>29</v>
      </c>
      <c r="D76" s="23" t="s">
        <v>28</v>
      </c>
      <c r="E76" s="23"/>
      <c r="F76" s="85">
        <f>'Operating cost estimates'!D9+'Operating cost estimates'!D13+'Operating cost estimates'!D47</f>
        <v>4.5144000000000002</v>
      </c>
      <c r="G76" s="85">
        <f>F76*(1+'Key Assumptions'!$N$29)</f>
        <v>4.8304080000000003</v>
      </c>
      <c r="H76" s="85">
        <f>G76*(1+'Key Assumptions'!$N$29)</f>
        <v>5.1685365600000006</v>
      </c>
      <c r="I76" s="85">
        <f>H76*(1+'Key Assumptions'!$N$29)</f>
        <v>5.5303341192000008</v>
      </c>
      <c r="J76" s="85">
        <f>I76*(1+'Key Assumptions'!$N$29)</f>
        <v>5.9174575075440012</v>
      </c>
      <c r="L76" s="1" t="s">
        <v>255</v>
      </c>
    </row>
    <row r="77" spans="2:12" x14ac:dyDescent="0.2">
      <c r="C77" s="23" t="s">
        <v>30</v>
      </c>
      <c r="D77" s="23" t="s">
        <v>28</v>
      </c>
      <c r="E77" s="23"/>
      <c r="F77" s="85">
        <f>'Operating cost estimates'!D32</f>
        <v>0.29988000000000004</v>
      </c>
      <c r="G77" s="85">
        <f>F77*(1+'Key Assumptions'!$N$29)</f>
        <v>0.32087160000000003</v>
      </c>
      <c r="H77" s="85">
        <f>G77*(1+'Key Assumptions'!$N$29)</f>
        <v>0.34333261200000004</v>
      </c>
      <c r="I77" s="85">
        <f>H77*(1+'Key Assumptions'!$N$29)</f>
        <v>0.36736589484000004</v>
      </c>
      <c r="J77" s="85">
        <f>I77*(1+'Key Assumptions'!$N$29)</f>
        <v>0.39308150747880005</v>
      </c>
    </row>
    <row r="78" spans="2:12" x14ac:dyDescent="0.2">
      <c r="C78" s="23" t="s">
        <v>14</v>
      </c>
      <c r="D78" s="23" t="s">
        <v>28</v>
      </c>
      <c r="E78" s="23"/>
      <c r="F78" s="85">
        <f>'Operating cost estimates'!D33</f>
        <v>0</v>
      </c>
      <c r="G78" s="85">
        <f>F78*(1+'Key Assumptions'!$N$29)</f>
        <v>0</v>
      </c>
      <c r="H78" s="85">
        <f>G78*(1+'Key Assumptions'!$N$29)</f>
        <v>0</v>
      </c>
      <c r="I78" s="85">
        <f>H78*(1+'Key Assumptions'!$N$29)</f>
        <v>0</v>
      </c>
      <c r="J78" s="85">
        <f>I78*(1+'Key Assumptions'!$N$29)</f>
        <v>0</v>
      </c>
    </row>
    <row r="79" spans="2:12" x14ac:dyDescent="0.2">
      <c r="C79" s="23" t="s">
        <v>31</v>
      </c>
      <c r="D79" s="23" t="s">
        <v>28</v>
      </c>
      <c r="E79" s="23"/>
      <c r="F79" s="85">
        <f>'Operating cost estimates'!D34</f>
        <v>0.36</v>
      </c>
      <c r="G79" s="85">
        <f>F79*(1+'Key Assumptions'!$N$29)</f>
        <v>0.38519999999999999</v>
      </c>
      <c r="H79" s="85">
        <f>G79*(1+'Key Assumptions'!$N$29)</f>
        <v>0.41216400000000003</v>
      </c>
      <c r="I79" s="85">
        <f>H79*(1+'Key Assumptions'!$N$29)</f>
        <v>0.44101548000000007</v>
      </c>
      <c r="J79" s="85">
        <f>I79*(1+'Key Assumptions'!$N$29)</f>
        <v>0.47188656360000009</v>
      </c>
    </row>
    <row r="80" spans="2:12" x14ac:dyDescent="0.2">
      <c r="C80" s="23" t="s">
        <v>15</v>
      </c>
      <c r="D80" s="23" t="s">
        <v>28</v>
      </c>
      <c r="E80" s="23"/>
      <c r="F80" s="85">
        <f>'Operating cost estimates'!D35</f>
        <v>1.7999999999999998</v>
      </c>
      <c r="G80" s="85">
        <f>F80*(1+'Key Assumptions'!$N$29)</f>
        <v>1.9259999999999999</v>
      </c>
      <c r="H80" s="85">
        <f>G80*(1+'Key Assumptions'!$N$29)</f>
        <v>2.0608200000000001</v>
      </c>
      <c r="I80" s="85">
        <f>H80*(1+'Key Assumptions'!$N$29)</f>
        <v>2.2050774000000004</v>
      </c>
      <c r="J80" s="85">
        <f>I80*(1+'Key Assumptions'!$N$29)</f>
        <v>2.3594328180000006</v>
      </c>
    </row>
    <row r="81" spans="2:12" x14ac:dyDescent="0.2">
      <c r="C81" s="23" t="s">
        <v>32</v>
      </c>
      <c r="D81" s="23" t="s">
        <v>28</v>
      </c>
      <c r="E81" s="23"/>
      <c r="F81" s="85">
        <f>'Operating cost estimates'!D40</f>
        <v>0.32400000000000001</v>
      </c>
      <c r="G81" s="85">
        <f>F81*(1+'Key Assumptions'!$N$29)</f>
        <v>0.34668000000000004</v>
      </c>
      <c r="H81" s="85">
        <f>G81*(1+'Key Assumptions'!$N$29)</f>
        <v>0.37094760000000004</v>
      </c>
      <c r="I81" s="85">
        <f>H81*(1+'Key Assumptions'!$N$29)</f>
        <v>0.39691393200000008</v>
      </c>
      <c r="J81" s="85">
        <f>I81*(1+'Key Assumptions'!$N$29)</f>
        <v>0.42469790724000012</v>
      </c>
    </row>
    <row r="82" spans="2:12" x14ac:dyDescent="0.2">
      <c r="C82" s="23" t="s">
        <v>33</v>
      </c>
      <c r="D82" s="23" t="s">
        <v>28</v>
      </c>
      <c r="E82" s="23"/>
      <c r="F82" s="85">
        <f>'Operating cost estimates'!D55</f>
        <v>0.12</v>
      </c>
      <c r="G82" s="85">
        <f>F82*(1+'Key Assumptions'!$N$29)</f>
        <v>0.12840000000000001</v>
      </c>
      <c r="H82" s="85">
        <f>G82*(1+'Key Assumptions'!$N$29)</f>
        <v>0.13738800000000001</v>
      </c>
      <c r="I82" s="85">
        <f>H82*(1+'Key Assumptions'!$N$29)</f>
        <v>0.14700516000000002</v>
      </c>
      <c r="J82" s="85">
        <f>I82*(1+'Key Assumptions'!$N$29)</f>
        <v>0.15729552120000004</v>
      </c>
    </row>
    <row r="83" spans="2:12" x14ac:dyDescent="0.2">
      <c r="C83" s="23" t="s">
        <v>34</v>
      </c>
      <c r="D83" s="23" t="s">
        <v>28</v>
      </c>
      <c r="E83" s="23"/>
      <c r="F83" s="85">
        <f>'Operating cost estimates'!D57</f>
        <v>0.24</v>
      </c>
      <c r="G83" s="85">
        <f>F83*(1+'Key Assumptions'!$N$29)</f>
        <v>0.25680000000000003</v>
      </c>
      <c r="H83" s="85">
        <f>G83*(1+'Key Assumptions'!$N$29)</f>
        <v>0.27477600000000002</v>
      </c>
      <c r="I83" s="85">
        <f>H83*(1+'Key Assumptions'!$N$29)</f>
        <v>0.29401032000000005</v>
      </c>
      <c r="J83" s="85">
        <f>I83*(1+'Key Assumptions'!$N$29)</f>
        <v>0.31459104240000008</v>
      </c>
    </row>
    <row r="84" spans="2:12" x14ac:dyDescent="0.2">
      <c r="C84" s="61" t="s">
        <v>24</v>
      </c>
      <c r="D84" s="61" t="s">
        <v>28</v>
      </c>
      <c r="E84" s="23"/>
      <c r="F84" s="84">
        <f>SUM(F76:F83)</f>
        <v>7.6582800000000004</v>
      </c>
      <c r="G84" s="84">
        <f t="shared" ref="G84:J84" si="3">SUM(G76:G83)</f>
        <v>8.1943596000000003</v>
      </c>
      <c r="H84" s="84">
        <f t="shared" si="3"/>
        <v>8.7679647720000009</v>
      </c>
      <c r="I84" s="84">
        <f t="shared" si="3"/>
        <v>9.3817223060400021</v>
      </c>
      <c r="J84" s="84">
        <f t="shared" si="3"/>
        <v>10.038442867462802</v>
      </c>
    </row>
    <row r="85" spans="2:12" x14ac:dyDescent="0.2">
      <c r="F85" s="6"/>
    </row>
    <row r="86" spans="2:12" x14ac:dyDescent="0.2">
      <c r="B86" s="2" t="s">
        <v>141</v>
      </c>
    </row>
    <row r="87" spans="2:12" x14ac:dyDescent="0.2">
      <c r="C87" s="23" t="s">
        <v>18</v>
      </c>
      <c r="D87" s="23" t="s">
        <v>28</v>
      </c>
      <c r="E87" s="23"/>
      <c r="F87" s="65">
        <f>'Operating cost estimates'!J71</f>
        <v>0.96096000000000004</v>
      </c>
      <c r="G87" s="65">
        <f>F87*(1+'Key Assumptions'!$N$29)</f>
        <v>1.0282272000000001</v>
      </c>
      <c r="H87" s="65">
        <f>G87*(1+'Key Assumptions'!$N$29)</f>
        <v>1.1002031040000002</v>
      </c>
      <c r="I87" s="65">
        <f>H87*(1+'Key Assumptions'!$N$29)</f>
        <v>1.1772173212800003</v>
      </c>
      <c r="J87" s="65">
        <f>I87*(1+'Key Assumptions'!$N$29)</f>
        <v>1.2596225337696005</v>
      </c>
      <c r="L87" s="1" t="s">
        <v>255</v>
      </c>
    </row>
    <row r="88" spans="2:12" x14ac:dyDescent="0.2">
      <c r="C88" s="23" t="s">
        <v>35</v>
      </c>
      <c r="D88" s="23" t="s">
        <v>28</v>
      </c>
      <c r="E88" s="23"/>
      <c r="F88" s="65">
        <f>'Operating cost estimates'!D63</f>
        <v>0.1</v>
      </c>
      <c r="G88" s="65">
        <f>F88*(1+'Key Assumptions'!$N$29)</f>
        <v>0.10700000000000001</v>
      </c>
      <c r="H88" s="65">
        <f>G88*(1+'Key Assumptions'!$N$29)</f>
        <v>0.11449000000000002</v>
      </c>
      <c r="I88" s="65">
        <f>H88*(1+'Key Assumptions'!$N$29)</f>
        <v>0.12250430000000002</v>
      </c>
      <c r="J88" s="65">
        <f>I88*(1+'Key Assumptions'!$N$29)</f>
        <v>0.13107960100000005</v>
      </c>
    </row>
    <row r="89" spans="2:12" x14ac:dyDescent="0.2">
      <c r="C89" s="23" t="s">
        <v>36</v>
      </c>
      <c r="D89" s="23" t="s">
        <v>28</v>
      </c>
      <c r="E89" s="23"/>
      <c r="F89" s="65">
        <f>'Operating cost estimates'!D62</f>
        <v>0.25</v>
      </c>
      <c r="G89" s="65">
        <f>F89*(1+'Key Assumptions'!$N$29)</f>
        <v>0.26750000000000002</v>
      </c>
      <c r="H89" s="65">
        <f>G89*(1+'Key Assumptions'!$N$29)</f>
        <v>0.28622500000000001</v>
      </c>
      <c r="I89" s="65">
        <f>H89*(1+'Key Assumptions'!$N$29)</f>
        <v>0.30626075000000003</v>
      </c>
      <c r="J89" s="65">
        <f>I89*(1+'Key Assumptions'!$N$29)</f>
        <v>0.32769900250000006</v>
      </c>
    </row>
    <row r="90" spans="2:12" x14ac:dyDescent="0.2">
      <c r="C90" s="61" t="s">
        <v>24</v>
      </c>
      <c r="D90" s="61" t="s">
        <v>28</v>
      </c>
      <c r="E90" s="23"/>
      <c r="F90" s="68">
        <f>SUM(F87:F89)</f>
        <v>1.3109600000000001</v>
      </c>
      <c r="G90" s="68">
        <f t="shared" ref="G90:J90" si="4">SUM(G87:G89)</f>
        <v>1.4027272000000002</v>
      </c>
      <c r="H90" s="68">
        <f t="shared" si="4"/>
        <v>1.5009181040000001</v>
      </c>
      <c r="I90" s="68">
        <f t="shared" si="4"/>
        <v>1.6059823712800005</v>
      </c>
      <c r="J90" s="68">
        <f t="shared" si="4"/>
        <v>1.7184011372696006</v>
      </c>
    </row>
    <row r="91" spans="2:12" x14ac:dyDescent="0.2">
      <c r="C91" s="70"/>
      <c r="D91" s="70"/>
      <c r="E91" s="33"/>
      <c r="F91" s="71"/>
      <c r="G91" s="71"/>
      <c r="H91" s="71"/>
      <c r="I91" s="71"/>
      <c r="J91" s="71"/>
    </row>
    <row r="92" spans="2:12" x14ac:dyDescent="0.2">
      <c r="B92" s="2" t="s">
        <v>142</v>
      </c>
      <c r="C92" s="23" t="s">
        <v>136</v>
      </c>
      <c r="D92" s="23" t="s">
        <v>28</v>
      </c>
      <c r="E92" s="23"/>
      <c r="F92" s="66">
        <f>'Operating cost estimates'!K9+'Operating cost estimates'!K11+'Operating cost estimates'!K12</f>
        <v>2.9332800000000003</v>
      </c>
      <c r="G92" s="66">
        <f>F92*(1+'Key Assumptions'!$N$29)</f>
        <v>3.1386096000000006</v>
      </c>
      <c r="H92" s="66">
        <f>G92*(1+'Key Assumptions'!$N$29)</f>
        <v>3.3583122720000009</v>
      </c>
      <c r="I92" s="66">
        <f>H92*(1+'Key Assumptions'!$N$29)</f>
        <v>3.593394131040001</v>
      </c>
      <c r="J92" s="66">
        <f>I92*(1+'Key Assumptions'!$N$29)</f>
        <v>3.8449317202128013</v>
      </c>
    </row>
    <row r="93" spans="2:12" x14ac:dyDescent="0.2">
      <c r="B93" s="2"/>
      <c r="C93" s="23" t="s">
        <v>137</v>
      </c>
      <c r="D93" s="23" t="s">
        <v>28</v>
      </c>
      <c r="E93" s="23"/>
      <c r="F93" s="66">
        <f>'Operating cost estimates'!K13</f>
        <v>2.75</v>
      </c>
      <c r="G93" s="66">
        <f>F93*(1+'Key Assumptions'!$N$29)</f>
        <v>2.9425000000000003</v>
      </c>
      <c r="H93" s="66">
        <f>G93*(1+'Key Assumptions'!$N$29)</f>
        <v>3.1484750000000004</v>
      </c>
      <c r="I93" s="66">
        <f>H93*(1+'Key Assumptions'!$N$29)</f>
        <v>3.3688682500000007</v>
      </c>
      <c r="J93" s="66">
        <f>I93*(1+'Key Assumptions'!$N$29)</f>
        <v>3.604689027500001</v>
      </c>
    </row>
    <row r="94" spans="2:12" x14ac:dyDescent="0.2">
      <c r="C94" s="61" t="s">
        <v>144</v>
      </c>
      <c r="D94" s="61" t="s">
        <v>28</v>
      </c>
      <c r="E94" s="23"/>
      <c r="F94" s="68">
        <f>SUM(F92:F93)</f>
        <v>5.6832799999999999</v>
      </c>
      <c r="G94" s="68">
        <f t="shared" ref="G94:J94" si="5">SUM(G92:G93)</f>
        <v>6.0811096000000013</v>
      </c>
      <c r="H94" s="68">
        <f t="shared" si="5"/>
        <v>6.5067872720000013</v>
      </c>
      <c r="I94" s="68">
        <f t="shared" si="5"/>
        <v>6.9622623810400022</v>
      </c>
      <c r="J94" s="68">
        <f t="shared" si="5"/>
        <v>7.4496207477128022</v>
      </c>
    </row>
    <row r="95" spans="2:12" x14ac:dyDescent="0.2">
      <c r="C95" s="70"/>
      <c r="D95" s="70"/>
      <c r="E95" s="33"/>
      <c r="F95" s="71"/>
      <c r="G95" s="71"/>
      <c r="H95" s="71"/>
      <c r="I95" s="71"/>
      <c r="J95" s="71"/>
    </row>
    <row r="96" spans="2:12" x14ac:dyDescent="0.2">
      <c r="B96" s="2" t="s">
        <v>114</v>
      </c>
      <c r="C96" s="61" t="s">
        <v>24</v>
      </c>
      <c r="D96" s="61" t="s">
        <v>28</v>
      </c>
      <c r="E96" s="72"/>
      <c r="F96" s="68">
        <f>F90+F84+F94</f>
        <v>14.652520000000001</v>
      </c>
      <c r="G96" s="68">
        <f t="shared" ref="G96:J96" si="6">G90+G84+G94</f>
        <v>15.678196400000001</v>
      </c>
      <c r="H96" s="68">
        <f>H90+H84+H94</f>
        <v>16.775670148000003</v>
      </c>
      <c r="I96" s="68">
        <f t="shared" si="6"/>
        <v>17.949967058360006</v>
      </c>
      <c r="J96" s="68">
        <f t="shared" si="6"/>
        <v>19.206464752445203</v>
      </c>
    </row>
    <row r="97" spans="2:12" x14ac:dyDescent="0.2">
      <c r="B97" s="2"/>
      <c r="C97" s="70"/>
      <c r="D97" s="70"/>
      <c r="E97" s="33"/>
      <c r="F97" s="71"/>
      <c r="G97" s="71"/>
      <c r="H97" s="71"/>
      <c r="I97" s="71"/>
      <c r="J97" s="71"/>
    </row>
    <row r="98" spans="2:12" x14ac:dyDescent="0.2">
      <c r="B98" s="2" t="s">
        <v>122</v>
      </c>
    </row>
    <row r="99" spans="2:12" x14ac:dyDescent="0.2">
      <c r="C99" s="23" t="str">
        <f t="shared" ref="C99:C103" si="7">C67</f>
        <v>Scenario 1, NPV=0, at Y=1</v>
      </c>
      <c r="D99" s="23" t="s">
        <v>28</v>
      </c>
      <c r="E99" s="23"/>
      <c r="F99" s="65">
        <f t="shared" ref="F99:J103" si="8">F67-F$96</f>
        <v>3.2268674999999991</v>
      </c>
      <c r="G99" s="65">
        <f t="shared" si="8"/>
        <v>3.4527482250000006</v>
      </c>
      <c r="H99" s="65">
        <f t="shared" si="8"/>
        <v>3.6944406007500028</v>
      </c>
      <c r="I99" s="65">
        <f t="shared" si="8"/>
        <v>3.9530514428025008</v>
      </c>
      <c r="J99" s="65">
        <f t="shared" si="8"/>
        <v>4.2297650437986754</v>
      </c>
      <c r="L99" s="1" t="s">
        <v>256</v>
      </c>
    </row>
    <row r="100" spans="2:12" x14ac:dyDescent="0.2">
      <c r="C100" s="23" t="str">
        <f t="shared" si="7"/>
        <v>Scenario 2, NPV=0, at Y=2</v>
      </c>
      <c r="D100" s="23" t="s">
        <v>28</v>
      </c>
      <c r="E100" s="23"/>
      <c r="F100" s="65">
        <f t="shared" si="8"/>
        <v>3.0075060596026493</v>
      </c>
      <c r="G100" s="65">
        <f t="shared" si="8"/>
        <v>3.2180314837748334</v>
      </c>
      <c r="H100" s="65">
        <f t="shared" si="8"/>
        <v>3.4432936876390734</v>
      </c>
      <c r="I100" s="65">
        <f t="shared" si="8"/>
        <v>3.6843242457738086</v>
      </c>
      <c r="J100" s="65">
        <f t="shared" si="8"/>
        <v>3.9422269429779746</v>
      </c>
    </row>
    <row r="101" spans="2:12" x14ac:dyDescent="0.2">
      <c r="C101" s="23" t="str">
        <f t="shared" si="7"/>
        <v>Scenario 3, NPV=0, at Y=3</v>
      </c>
      <c r="D101" s="23" t="s">
        <v>28</v>
      </c>
      <c r="E101" s="23"/>
      <c r="F101" s="65">
        <f t="shared" si="8"/>
        <v>2.8106068527485508</v>
      </c>
      <c r="G101" s="65">
        <f t="shared" si="8"/>
        <v>3.007349332440949</v>
      </c>
      <c r="H101" s="65">
        <f t="shared" si="8"/>
        <v>3.2178637857118169</v>
      </c>
      <c r="I101" s="65">
        <f t="shared" si="8"/>
        <v>3.4431142507116448</v>
      </c>
      <c r="J101" s="65">
        <f t="shared" si="8"/>
        <v>3.6841322482614594</v>
      </c>
    </row>
    <row r="102" spans="2:12" x14ac:dyDescent="0.2">
      <c r="C102" s="23" t="str">
        <f t="shared" si="7"/>
        <v>Scenario 4, NPV=0, at Y=4</v>
      </c>
      <c r="D102" s="23" t="s">
        <v>28</v>
      </c>
      <c r="E102" s="23"/>
      <c r="F102" s="65">
        <f t="shared" si="8"/>
        <v>2.6340071725782135</v>
      </c>
      <c r="G102" s="65">
        <f t="shared" si="8"/>
        <v>2.8183876746586876</v>
      </c>
      <c r="H102" s="65">
        <f t="shared" si="8"/>
        <v>3.0156748118847965</v>
      </c>
      <c r="I102" s="65">
        <f t="shared" si="8"/>
        <v>3.2267720487167324</v>
      </c>
      <c r="J102" s="65">
        <f t="shared" si="8"/>
        <v>3.4526460921269013</v>
      </c>
    </row>
    <row r="103" spans="2:12" x14ac:dyDescent="0.2">
      <c r="C103" s="23" t="str">
        <f t="shared" si="7"/>
        <v>Scenario 5, NPV=0, at Y=5</v>
      </c>
      <c r="D103" s="23" t="s">
        <v>28</v>
      </c>
      <c r="E103" s="23"/>
      <c r="F103" s="65">
        <f t="shared" si="8"/>
        <v>2.4757363244808115</v>
      </c>
      <c r="G103" s="65">
        <f t="shared" si="8"/>
        <v>2.6490378671944654</v>
      </c>
      <c r="H103" s="65">
        <f t="shared" si="8"/>
        <v>2.8344705178980796</v>
      </c>
      <c r="I103" s="65">
        <f t="shared" si="8"/>
        <v>3.0328834541509444</v>
      </c>
      <c r="J103" s="65">
        <f t="shared" si="8"/>
        <v>3.2451852959415106</v>
      </c>
    </row>
    <row r="106" spans="2:12" x14ac:dyDescent="0.2">
      <c r="B106" s="2"/>
    </row>
    <row r="107" spans="2:12" x14ac:dyDescent="0.2">
      <c r="B107" s="2" t="s">
        <v>163</v>
      </c>
    </row>
    <row r="108" spans="2:12" x14ac:dyDescent="0.2">
      <c r="C108" s="23" t="s">
        <v>233</v>
      </c>
      <c r="D108" s="23" t="s">
        <v>28</v>
      </c>
      <c r="E108" s="23"/>
      <c r="F108" s="65">
        <f>$E$58*'Key Assumptions'!N$15</f>
        <v>1.50753</v>
      </c>
      <c r="G108" s="65">
        <f>$E$58*'Key Assumptions'!O$15</f>
        <v>1.50753</v>
      </c>
      <c r="H108" s="65">
        <f>$E$58*'Key Assumptions'!P$15</f>
        <v>1.50753</v>
      </c>
      <c r="I108" s="65">
        <f>$E$58*'Key Assumptions'!Q$15</f>
        <v>1.50753</v>
      </c>
      <c r="J108" s="65">
        <f>$E$58*'Key Assumptions'!R$15</f>
        <v>1.50753</v>
      </c>
      <c r="L108" s="5" t="s">
        <v>268</v>
      </c>
    </row>
    <row r="109" spans="2:12" ht="25.5" x14ac:dyDescent="0.2">
      <c r="C109" s="62" t="s">
        <v>234</v>
      </c>
      <c r="D109" s="23" t="s">
        <v>28</v>
      </c>
      <c r="E109" s="65">
        <f>E58</f>
        <v>9.3000000000000007</v>
      </c>
      <c r="F109" s="65">
        <f>E109-F108</f>
        <v>7.7924700000000007</v>
      </c>
      <c r="G109" s="65">
        <f>F109-G108</f>
        <v>6.2849400000000006</v>
      </c>
      <c r="H109" s="65">
        <f>G109-H108</f>
        <v>4.7774100000000006</v>
      </c>
      <c r="I109" s="65">
        <f>H109-I108</f>
        <v>3.2698800000000006</v>
      </c>
      <c r="J109" s="65">
        <f>I109-J108</f>
        <v>1.7623500000000005</v>
      </c>
    </row>
    <row r="111" spans="2:12" x14ac:dyDescent="0.2">
      <c r="B111" s="2" t="s">
        <v>171</v>
      </c>
    </row>
    <row r="112" spans="2:12" x14ac:dyDescent="0.2">
      <c r="C112" s="23" t="str">
        <f>C99</f>
        <v>Scenario 1, NPV=0, at Y=1</v>
      </c>
      <c r="D112" s="23" t="s">
        <v>28</v>
      </c>
      <c r="E112" s="23"/>
      <c r="F112" s="65">
        <f>F99-F$108</f>
        <v>1.7193374999999991</v>
      </c>
      <c r="G112" s="65">
        <f t="shared" ref="G112:J112" si="9">G99-G$108</f>
        <v>1.9452182250000005</v>
      </c>
      <c r="H112" s="65">
        <f t="shared" si="9"/>
        <v>2.1869106007500028</v>
      </c>
      <c r="I112" s="65">
        <f t="shared" si="9"/>
        <v>2.4455214428025007</v>
      </c>
      <c r="J112" s="65">
        <f t="shared" si="9"/>
        <v>2.7222350437986753</v>
      </c>
      <c r="L112" s="1" t="s">
        <v>257</v>
      </c>
    </row>
    <row r="113" spans="2:13" x14ac:dyDescent="0.2">
      <c r="C113" s="23" t="str">
        <f t="shared" ref="C113:C116" si="10">C100</f>
        <v>Scenario 2, NPV=0, at Y=2</v>
      </c>
      <c r="D113" s="23" t="s">
        <v>28</v>
      </c>
      <c r="E113" s="23"/>
      <c r="F113" s="65">
        <f t="shared" ref="F113:J116" si="11">F100-F$108</f>
        <v>1.4999760596026492</v>
      </c>
      <c r="G113" s="65">
        <f t="shared" si="11"/>
        <v>1.7105014837748334</v>
      </c>
      <c r="H113" s="65">
        <f t="shared" si="11"/>
        <v>1.9357636876390734</v>
      </c>
      <c r="I113" s="65">
        <f t="shared" si="11"/>
        <v>2.1767942457738085</v>
      </c>
      <c r="J113" s="65">
        <f t="shared" si="11"/>
        <v>2.4346969429779746</v>
      </c>
    </row>
    <row r="114" spans="2:13" x14ac:dyDescent="0.2">
      <c r="C114" s="23" t="str">
        <f t="shared" si="10"/>
        <v>Scenario 3, NPV=0, at Y=3</v>
      </c>
      <c r="D114" s="23" t="s">
        <v>28</v>
      </c>
      <c r="E114" s="23"/>
      <c r="F114" s="65">
        <f t="shared" si="11"/>
        <v>1.3030768527485508</v>
      </c>
      <c r="G114" s="65">
        <f t="shared" si="11"/>
        <v>1.499819332440949</v>
      </c>
      <c r="H114" s="65">
        <f t="shared" si="11"/>
        <v>1.7103337857118168</v>
      </c>
      <c r="I114" s="65">
        <f t="shared" si="11"/>
        <v>1.9355842507116447</v>
      </c>
      <c r="J114" s="65">
        <f t="shared" si="11"/>
        <v>2.1766022482614593</v>
      </c>
      <c r="M114" s="100"/>
    </row>
    <row r="115" spans="2:13" x14ac:dyDescent="0.2">
      <c r="C115" s="23" t="str">
        <f t="shared" si="10"/>
        <v>Scenario 4, NPV=0, at Y=4</v>
      </c>
      <c r="D115" s="23" t="s">
        <v>28</v>
      </c>
      <c r="E115" s="23"/>
      <c r="F115" s="65">
        <f t="shared" si="11"/>
        <v>1.1264771725782134</v>
      </c>
      <c r="G115" s="65">
        <f t="shared" si="11"/>
        <v>1.3108576746586875</v>
      </c>
      <c r="H115" s="65">
        <f t="shared" si="11"/>
        <v>1.5081448118847964</v>
      </c>
      <c r="I115" s="65">
        <f t="shared" si="11"/>
        <v>1.7192420487167324</v>
      </c>
      <c r="J115" s="65">
        <f t="shared" si="11"/>
        <v>1.9451160921269013</v>
      </c>
    </row>
    <row r="116" spans="2:13" x14ac:dyDescent="0.2">
      <c r="C116" s="23" t="str">
        <f t="shared" si="10"/>
        <v>Scenario 5, NPV=0, at Y=5</v>
      </c>
      <c r="D116" s="23" t="s">
        <v>28</v>
      </c>
      <c r="E116" s="23"/>
      <c r="F116" s="65">
        <f t="shared" si="11"/>
        <v>0.96820632448081145</v>
      </c>
      <c r="G116" s="65">
        <f t="shared" si="11"/>
        <v>1.1415078671944654</v>
      </c>
      <c r="H116" s="65">
        <f t="shared" si="11"/>
        <v>1.3269405178980795</v>
      </c>
      <c r="I116" s="65">
        <f t="shared" si="11"/>
        <v>1.5253534541509444</v>
      </c>
      <c r="J116" s="65">
        <f t="shared" si="11"/>
        <v>1.7376552959415106</v>
      </c>
    </row>
    <row r="120" spans="2:13" x14ac:dyDescent="0.2">
      <c r="B120" s="2" t="s">
        <v>167</v>
      </c>
      <c r="F120" s="116">
        <f>F173</f>
        <v>0.58590000000000009</v>
      </c>
      <c r="G120" s="116">
        <f t="shared" ref="G120:J120" si="12">G173</f>
        <v>0.45570000000000005</v>
      </c>
      <c r="H120" s="116">
        <f t="shared" si="12"/>
        <v>0.32550000000000007</v>
      </c>
      <c r="I120" s="116">
        <f t="shared" si="12"/>
        <v>0.1953</v>
      </c>
      <c r="J120" s="116">
        <f t="shared" si="12"/>
        <v>6.5099999999999991E-2</v>
      </c>
    </row>
    <row r="123" spans="2:13" x14ac:dyDescent="0.2">
      <c r="B123" s="2" t="s">
        <v>164</v>
      </c>
    </row>
    <row r="124" spans="2:13" x14ac:dyDescent="0.2">
      <c r="C124" s="23" t="s">
        <v>164</v>
      </c>
    </row>
    <row r="125" spans="2:13" x14ac:dyDescent="0.2">
      <c r="C125" s="23" t="str">
        <f>C112</f>
        <v>Scenario 1, NPV=0, at Y=1</v>
      </c>
      <c r="D125" s="23" t="s">
        <v>28</v>
      </c>
      <c r="E125" s="23"/>
      <c r="F125" s="65">
        <f>F112-F$120</f>
        <v>1.133437499999999</v>
      </c>
      <c r="G125" s="65">
        <f t="shared" ref="G125:J125" si="13">G112-G$120</f>
        <v>1.4895182250000005</v>
      </c>
      <c r="H125" s="65">
        <f t="shared" si="13"/>
        <v>1.8614106007500026</v>
      </c>
      <c r="I125" s="65">
        <f t="shared" si="13"/>
        <v>2.2502214428025007</v>
      </c>
      <c r="J125" s="65">
        <f t="shared" si="13"/>
        <v>2.6571350437986752</v>
      </c>
      <c r="L125" s="1" t="s">
        <v>258</v>
      </c>
    </row>
    <row r="126" spans="2:13" x14ac:dyDescent="0.2">
      <c r="C126" s="23" t="str">
        <f t="shared" ref="C126:C129" si="14">C113</f>
        <v>Scenario 2, NPV=0, at Y=2</v>
      </c>
      <c r="D126" s="23" t="s">
        <v>28</v>
      </c>
      <c r="E126" s="23"/>
      <c r="F126" s="65">
        <f t="shared" ref="F126:J129" si="15">F113-F$120</f>
        <v>0.91407605960264915</v>
      </c>
      <c r="G126" s="65">
        <f t="shared" si="15"/>
        <v>1.2548014837748334</v>
      </c>
      <c r="H126" s="65">
        <f t="shared" si="15"/>
        <v>1.6102636876390732</v>
      </c>
      <c r="I126" s="65">
        <f t="shared" si="15"/>
        <v>1.9814942457738085</v>
      </c>
      <c r="J126" s="65">
        <f t="shared" si="15"/>
        <v>2.3695969429779744</v>
      </c>
    </row>
    <row r="127" spans="2:13" x14ac:dyDescent="0.2">
      <c r="C127" s="23" t="str">
        <f t="shared" si="14"/>
        <v>Scenario 3, NPV=0, at Y=3</v>
      </c>
      <c r="D127" s="23" t="s">
        <v>28</v>
      </c>
      <c r="E127" s="23"/>
      <c r="F127" s="65">
        <f t="shared" si="15"/>
        <v>0.7171768527485507</v>
      </c>
      <c r="G127" s="65">
        <f t="shared" si="15"/>
        <v>1.044119332440949</v>
      </c>
      <c r="H127" s="65">
        <f t="shared" si="15"/>
        <v>1.3848337857118167</v>
      </c>
      <c r="I127" s="65">
        <f t="shared" si="15"/>
        <v>1.7402842507116447</v>
      </c>
      <c r="J127" s="65">
        <f t="shared" si="15"/>
        <v>2.1115022482614592</v>
      </c>
    </row>
    <row r="128" spans="2:13" x14ac:dyDescent="0.2">
      <c r="C128" s="23" t="str">
        <f t="shared" si="14"/>
        <v>Scenario 4, NPV=0, at Y=4</v>
      </c>
      <c r="D128" s="23" t="s">
        <v>28</v>
      </c>
      <c r="E128" s="23"/>
      <c r="F128" s="65">
        <f t="shared" si="15"/>
        <v>0.54057717257821336</v>
      </c>
      <c r="G128" s="65">
        <f t="shared" si="15"/>
        <v>0.85515767465868753</v>
      </c>
      <c r="H128" s="65">
        <f t="shared" si="15"/>
        <v>1.1826448118847963</v>
      </c>
      <c r="I128" s="65">
        <f t="shared" si="15"/>
        <v>1.5239420487167323</v>
      </c>
      <c r="J128" s="65">
        <f t="shared" si="15"/>
        <v>1.8800160921269014</v>
      </c>
    </row>
    <row r="129" spans="2:12" x14ac:dyDescent="0.2">
      <c r="C129" s="23" t="str">
        <f t="shared" si="14"/>
        <v>Scenario 5, NPV=0, at Y=5</v>
      </c>
      <c r="D129" s="23" t="s">
        <v>28</v>
      </c>
      <c r="E129" s="23"/>
      <c r="F129" s="65">
        <f t="shared" si="15"/>
        <v>0.38230632448081137</v>
      </c>
      <c r="G129" s="65">
        <f t="shared" si="15"/>
        <v>0.6858078671944654</v>
      </c>
      <c r="H129" s="65">
        <f t="shared" si="15"/>
        <v>1.0014405178980794</v>
      </c>
      <c r="I129" s="65">
        <f t="shared" si="15"/>
        <v>1.3300534541509443</v>
      </c>
      <c r="J129" s="65">
        <f t="shared" si="15"/>
        <v>1.6725552959415106</v>
      </c>
    </row>
    <row r="134" spans="2:12" x14ac:dyDescent="0.2">
      <c r="B134" s="2" t="s">
        <v>165</v>
      </c>
    </row>
    <row r="135" spans="2:12" x14ac:dyDescent="0.2">
      <c r="B135" s="2"/>
      <c r="C135" s="23" t="s">
        <v>166</v>
      </c>
      <c r="D135" s="4"/>
    </row>
    <row r="136" spans="2:12" x14ac:dyDescent="0.2">
      <c r="C136" s="23" t="str">
        <f>C125</f>
        <v>Scenario 1, NPV=0, at Y=1</v>
      </c>
      <c r="D136" s="23" t="s">
        <v>28</v>
      </c>
      <c r="E136" s="23"/>
      <c r="F136" s="65">
        <f>MAX("0",(F125*'Key Assumptions'!$N$30))</f>
        <v>0.22668749999999982</v>
      </c>
      <c r="G136" s="65">
        <f>MAX("0",(G125*'Key Assumptions'!$N$30))</f>
        <v>0.29790364500000011</v>
      </c>
      <c r="H136" s="65">
        <f>MAX("0",(H125*'Key Assumptions'!$N$30))</f>
        <v>0.37228212015000056</v>
      </c>
      <c r="I136" s="65">
        <f>MAX("0",(I125*'Key Assumptions'!$N$30))</f>
        <v>0.45004428856050016</v>
      </c>
      <c r="J136" s="65">
        <f>MAX("0",(J125*'Key Assumptions'!$N$30))</f>
        <v>0.53142700875973503</v>
      </c>
      <c r="L136" s="1" t="s">
        <v>259</v>
      </c>
    </row>
    <row r="137" spans="2:12" x14ac:dyDescent="0.2">
      <c r="C137" s="23" t="str">
        <f t="shared" ref="C137:C140" si="16">C126</f>
        <v>Scenario 2, NPV=0, at Y=2</v>
      </c>
      <c r="D137" s="23" t="s">
        <v>28</v>
      </c>
      <c r="E137" s="23"/>
      <c r="F137" s="65">
        <f>MAX("0",(F126*'Key Assumptions'!$N$30))</f>
        <v>0.18281521192052985</v>
      </c>
      <c r="G137" s="65">
        <f>MAX("0",(G126*'Key Assumptions'!$N$30))</f>
        <v>0.25096029675496667</v>
      </c>
      <c r="H137" s="65">
        <f>MAX("0",(H126*'Key Assumptions'!$N$30))</f>
        <v>0.32205273752781466</v>
      </c>
      <c r="I137" s="65">
        <f>MAX("0",(I126*'Key Assumptions'!$N$30))</f>
        <v>0.39629884915476171</v>
      </c>
      <c r="J137" s="65">
        <f>MAX("0",(J126*'Key Assumptions'!$N$30))</f>
        <v>0.4739193885955949</v>
      </c>
    </row>
    <row r="138" spans="2:12" x14ac:dyDescent="0.2">
      <c r="C138" s="23" t="str">
        <f t="shared" si="16"/>
        <v>Scenario 3, NPV=0, at Y=3</v>
      </c>
      <c r="D138" s="23" t="s">
        <v>28</v>
      </c>
      <c r="E138" s="23"/>
      <c r="F138" s="65">
        <f>MAX("0",(F127*'Key Assumptions'!$N$30))</f>
        <v>0.14343537054971014</v>
      </c>
      <c r="G138" s="65">
        <f>MAX("0",(G127*'Key Assumptions'!$N$30))</f>
        <v>0.20882386648818982</v>
      </c>
      <c r="H138" s="65">
        <f>MAX("0",(H127*'Key Assumptions'!$N$30))</f>
        <v>0.27696675714236335</v>
      </c>
      <c r="I138" s="65">
        <f>MAX("0",(I127*'Key Assumptions'!$N$30))</f>
        <v>0.34805685014232896</v>
      </c>
      <c r="J138" s="65">
        <f>MAX("0",(J127*'Key Assumptions'!$N$30))</f>
        <v>0.42230044965229185</v>
      </c>
    </row>
    <row r="139" spans="2:12" x14ac:dyDescent="0.2">
      <c r="C139" s="23" t="str">
        <f t="shared" si="16"/>
        <v>Scenario 4, NPV=0, at Y=4</v>
      </c>
      <c r="D139" s="23" t="s">
        <v>28</v>
      </c>
      <c r="E139" s="23"/>
      <c r="F139" s="65">
        <f>MAX("0",(F128*'Key Assumptions'!$N$30))</f>
        <v>0.10811543451564268</v>
      </c>
      <c r="G139" s="65">
        <f>MAX("0",(G128*'Key Assumptions'!$N$30))</f>
        <v>0.17103153493173751</v>
      </c>
      <c r="H139" s="65">
        <f>MAX("0",(H128*'Key Assumptions'!$N$30))</f>
        <v>0.23652896237695928</v>
      </c>
      <c r="I139" s="65">
        <f>MAX("0",(I128*'Key Assumptions'!$N$30))</f>
        <v>0.30478840974334648</v>
      </c>
      <c r="J139" s="65">
        <f>MAX("0",(J128*'Key Assumptions'!$N$30))</f>
        <v>0.37600321842538031</v>
      </c>
    </row>
    <row r="140" spans="2:12" x14ac:dyDescent="0.2">
      <c r="C140" s="23" t="str">
        <f t="shared" si="16"/>
        <v>Scenario 5, NPV=0, at Y=5</v>
      </c>
      <c r="D140" s="23" t="s">
        <v>28</v>
      </c>
      <c r="E140" s="23"/>
      <c r="F140" s="65">
        <f>MAX("0",(F129*'Key Assumptions'!$N$30))</f>
        <v>7.6461264896162284E-2</v>
      </c>
      <c r="G140" s="65">
        <f>MAX("0",(G129*'Key Assumptions'!$N$30))</f>
        <v>0.1371615734388931</v>
      </c>
      <c r="H140" s="65">
        <f>MAX("0",(H129*'Key Assumptions'!$N$30))</f>
        <v>0.20028810357961591</v>
      </c>
      <c r="I140" s="65">
        <f>MAX("0",(I129*'Key Assumptions'!$N$30))</f>
        <v>0.26601069083018886</v>
      </c>
      <c r="J140" s="65">
        <f>MAX("0",(J129*'Key Assumptions'!$N$30))</f>
        <v>0.33451105918830215</v>
      </c>
    </row>
    <row r="145" spans="2:12" x14ac:dyDescent="0.2">
      <c r="B145" s="2" t="s">
        <v>123</v>
      </c>
    </row>
    <row r="146" spans="2:12" x14ac:dyDescent="0.2">
      <c r="C146" s="61" t="s">
        <v>40</v>
      </c>
    </row>
    <row r="147" spans="2:12" x14ac:dyDescent="0.2">
      <c r="C147" s="23" t="str">
        <f>C136</f>
        <v>Scenario 1, NPV=0, at Y=1</v>
      </c>
      <c r="D147" s="23" t="s">
        <v>28</v>
      </c>
      <c r="E147" s="23"/>
      <c r="F147" s="65">
        <f>F125-F136</f>
        <v>0.90674999999999917</v>
      </c>
      <c r="G147" s="65">
        <f t="shared" ref="F147:J151" si="17">G125-G136</f>
        <v>1.1916145800000004</v>
      </c>
      <c r="H147" s="65">
        <f t="shared" si="17"/>
        <v>1.489128480600002</v>
      </c>
      <c r="I147" s="65">
        <f t="shared" si="17"/>
        <v>1.8001771542420006</v>
      </c>
      <c r="J147" s="65">
        <f t="shared" si="17"/>
        <v>2.1257080350389401</v>
      </c>
      <c r="L147" s="1" t="s">
        <v>260</v>
      </c>
    </row>
    <row r="148" spans="2:12" x14ac:dyDescent="0.2">
      <c r="C148" s="23" t="str">
        <f t="shared" ref="C148:C151" si="18">C137</f>
        <v>Scenario 2, NPV=0, at Y=2</v>
      </c>
      <c r="D148" s="23" t="s">
        <v>28</v>
      </c>
      <c r="E148" s="23"/>
      <c r="F148" s="65">
        <f t="shared" si="17"/>
        <v>0.7312608476821193</v>
      </c>
      <c r="G148" s="65">
        <f t="shared" si="17"/>
        <v>1.0038411870198667</v>
      </c>
      <c r="H148" s="65">
        <f t="shared" si="17"/>
        <v>1.2882109501112586</v>
      </c>
      <c r="I148" s="65">
        <f t="shared" si="17"/>
        <v>1.5851953966190468</v>
      </c>
      <c r="J148" s="65">
        <f t="shared" si="17"/>
        <v>1.8956775543823796</v>
      </c>
    </row>
    <row r="149" spans="2:12" x14ac:dyDescent="0.2">
      <c r="C149" s="23" t="str">
        <f t="shared" si="18"/>
        <v>Scenario 3, NPV=0, at Y=3</v>
      </c>
      <c r="D149" s="23" t="s">
        <v>28</v>
      </c>
      <c r="E149" s="23"/>
      <c r="F149" s="65">
        <f t="shared" si="17"/>
        <v>0.57374148219884058</v>
      </c>
      <c r="G149" s="65">
        <f t="shared" si="17"/>
        <v>0.83529546595275916</v>
      </c>
      <c r="H149" s="65">
        <f t="shared" si="17"/>
        <v>1.1078670285694534</v>
      </c>
      <c r="I149" s="65">
        <f t="shared" si="17"/>
        <v>1.3922274005693158</v>
      </c>
      <c r="J149" s="65">
        <f t="shared" si="17"/>
        <v>1.6892017986091674</v>
      </c>
    </row>
    <row r="150" spans="2:12" x14ac:dyDescent="0.2">
      <c r="C150" s="23" t="str">
        <f t="shared" si="18"/>
        <v>Scenario 4, NPV=0, at Y=4</v>
      </c>
      <c r="D150" s="23" t="s">
        <v>28</v>
      </c>
      <c r="E150" s="23"/>
      <c r="F150" s="65">
        <f t="shared" si="17"/>
        <v>0.43246173806257071</v>
      </c>
      <c r="G150" s="65">
        <f t="shared" si="17"/>
        <v>0.68412613972695002</v>
      </c>
      <c r="H150" s="65">
        <f t="shared" si="17"/>
        <v>0.946115849507837</v>
      </c>
      <c r="I150" s="65">
        <f t="shared" si="17"/>
        <v>1.2191536389733859</v>
      </c>
      <c r="J150" s="65">
        <f t="shared" si="17"/>
        <v>1.504012873701521</v>
      </c>
    </row>
    <row r="151" spans="2:12" x14ac:dyDescent="0.2">
      <c r="C151" s="23" t="str">
        <f t="shared" si="18"/>
        <v>Scenario 5, NPV=0, at Y=5</v>
      </c>
      <c r="D151" s="23" t="s">
        <v>28</v>
      </c>
      <c r="E151" s="23"/>
      <c r="F151" s="65">
        <f t="shared" si="17"/>
        <v>0.30584505958464908</v>
      </c>
      <c r="G151" s="65">
        <f t="shared" si="17"/>
        <v>0.54864629375557228</v>
      </c>
      <c r="H151" s="65">
        <f t="shared" si="17"/>
        <v>0.80115241431846351</v>
      </c>
      <c r="I151" s="65">
        <f t="shared" si="17"/>
        <v>1.0640427633207554</v>
      </c>
      <c r="J151" s="65">
        <f t="shared" si="17"/>
        <v>1.3380442367532086</v>
      </c>
    </row>
    <row r="156" spans="2:12" x14ac:dyDescent="0.2">
      <c r="B156" s="2" t="s">
        <v>162</v>
      </c>
    </row>
    <row r="157" spans="2:12" x14ac:dyDescent="0.2">
      <c r="B157" s="2"/>
    </row>
    <row r="158" spans="2:12" x14ac:dyDescent="0.2">
      <c r="B158" s="2"/>
      <c r="C158" s="1" t="s">
        <v>163</v>
      </c>
      <c r="F158" s="116">
        <f>F108</f>
        <v>1.50753</v>
      </c>
      <c r="G158" s="116">
        <f>G108</f>
        <v>1.50753</v>
      </c>
      <c r="H158" s="116">
        <f>H108</f>
        <v>1.50753</v>
      </c>
      <c r="I158" s="116">
        <f>I108</f>
        <v>1.50753</v>
      </c>
      <c r="J158" s="116">
        <f>J108</f>
        <v>1.50753</v>
      </c>
    </row>
    <row r="159" spans="2:12" x14ac:dyDescent="0.2">
      <c r="B159" s="2"/>
    </row>
    <row r="160" spans="2:12" x14ac:dyDescent="0.2">
      <c r="B160" s="2"/>
      <c r="C160" s="61" t="s">
        <v>168</v>
      </c>
    </row>
    <row r="161" spans="2:12" x14ac:dyDescent="0.2">
      <c r="C161" s="23" t="str">
        <f>C147</f>
        <v>Scenario 1, NPV=0, at Y=1</v>
      </c>
      <c r="D161" s="23" t="s">
        <v>28</v>
      </c>
      <c r="E161" s="65">
        <f>-E170</f>
        <v>-4.6500000000000004</v>
      </c>
      <c r="F161" s="65">
        <f t="shared" ref="F161:J165" si="19">F147+F$158</f>
        <v>2.4142799999999993</v>
      </c>
      <c r="G161" s="65">
        <f t="shared" si="19"/>
        <v>2.6991445800000005</v>
      </c>
      <c r="H161" s="65">
        <f t="shared" si="19"/>
        <v>2.9966584806000021</v>
      </c>
      <c r="I161" s="65">
        <f t="shared" si="19"/>
        <v>3.3077071542420007</v>
      </c>
      <c r="J161" s="65">
        <f t="shared" si="19"/>
        <v>3.6332380350389402</v>
      </c>
      <c r="L161" s="1" t="s">
        <v>261</v>
      </c>
    </row>
    <row r="162" spans="2:12" x14ac:dyDescent="0.2">
      <c r="C162" s="23" t="str">
        <f t="shared" ref="C162:C165" si="20">C148</f>
        <v>Scenario 2, NPV=0, at Y=2</v>
      </c>
      <c r="D162" s="23" t="s">
        <v>28</v>
      </c>
      <c r="E162" s="65">
        <f>E161</f>
        <v>-4.6500000000000004</v>
      </c>
      <c r="F162" s="65">
        <f t="shared" si="19"/>
        <v>2.2387908476821194</v>
      </c>
      <c r="G162" s="65">
        <f t="shared" si="19"/>
        <v>2.5113711870198667</v>
      </c>
      <c r="H162" s="65">
        <f t="shared" si="19"/>
        <v>2.7957409501112584</v>
      </c>
      <c r="I162" s="65">
        <f t="shared" si="19"/>
        <v>3.0927253966190467</v>
      </c>
      <c r="J162" s="65">
        <f t="shared" si="19"/>
        <v>3.4032075543823797</v>
      </c>
    </row>
    <row r="163" spans="2:12" x14ac:dyDescent="0.2">
      <c r="C163" s="23" t="str">
        <f t="shared" si="20"/>
        <v>Scenario 3, NPV=0, at Y=3</v>
      </c>
      <c r="D163" s="23" t="s">
        <v>28</v>
      </c>
      <c r="E163" s="65">
        <f t="shared" ref="E163:E165" si="21">E162</f>
        <v>-4.6500000000000004</v>
      </c>
      <c r="F163" s="65">
        <f t="shared" si="19"/>
        <v>2.0812714821988405</v>
      </c>
      <c r="G163" s="65">
        <f t="shared" si="19"/>
        <v>2.3428254659527594</v>
      </c>
      <c r="H163" s="65">
        <f t="shared" si="19"/>
        <v>2.6153970285694532</v>
      </c>
      <c r="I163" s="65">
        <f t="shared" si="19"/>
        <v>2.8997574005693156</v>
      </c>
      <c r="J163" s="65">
        <f t="shared" si="19"/>
        <v>3.1967317986091675</v>
      </c>
    </row>
    <row r="164" spans="2:12" x14ac:dyDescent="0.2">
      <c r="C164" s="23" t="str">
        <f t="shared" si="20"/>
        <v>Scenario 4, NPV=0, at Y=4</v>
      </c>
      <c r="D164" s="23" t="s">
        <v>28</v>
      </c>
      <c r="E164" s="65">
        <f t="shared" si="21"/>
        <v>-4.6500000000000004</v>
      </c>
      <c r="F164" s="65">
        <f t="shared" si="19"/>
        <v>1.9399917380625706</v>
      </c>
      <c r="G164" s="65">
        <f t="shared" si="19"/>
        <v>2.1916561397269501</v>
      </c>
      <c r="H164" s="65">
        <f t="shared" si="19"/>
        <v>2.4536458495078373</v>
      </c>
      <c r="I164" s="65">
        <f t="shared" si="19"/>
        <v>2.7266836389733857</v>
      </c>
      <c r="J164" s="65">
        <f t="shared" si="19"/>
        <v>3.0115428737015213</v>
      </c>
    </row>
    <row r="165" spans="2:12" x14ac:dyDescent="0.2">
      <c r="C165" s="23" t="str">
        <f t="shared" si="20"/>
        <v>Scenario 5, NPV=0, at Y=5</v>
      </c>
      <c r="D165" s="23" t="s">
        <v>28</v>
      </c>
      <c r="E165" s="65">
        <f t="shared" si="21"/>
        <v>-4.6500000000000004</v>
      </c>
      <c r="F165" s="65">
        <f t="shared" si="19"/>
        <v>1.8133750595846492</v>
      </c>
      <c r="G165" s="65">
        <f t="shared" si="19"/>
        <v>2.0561762937555725</v>
      </c>
      <c r="H165" s="65">
        <f t="shared" si="19"/>
        <v>2.3086824143184637</v>
      </c>
      <c r="I165" s="65">
        <f t="shared" si="19"/>
        <v>2.5715727633207557</v>
      </c>
      <c r="J165" s="65">
        <f t="shared" si="19"/>
        <v>2.8455742367532086</v>
      </c>
    </row>
    <row r="169" spans="2:12" x14ac:dyDescent="0.2">
      <c r="B169" s="2" t="s">
        <v>37</v>
      </c>
    </row>
    <row r="170" spans="2:12" x14ac:dyDescent="0.2">
      <c r="C170" s="21" t="s">
        <v>232</v>
      </c>
      <c r="D170" s="21"/>
      <c r="E170" s="59">
        <f>E58*'Key Assumptions'!$N$7</f>
        <v>4.6500000000000004</v>
      </c>
    </row>
    <row r="171" spans="2:12" x14ac:dyDescent="0.2">
      <c r="C171" s="21" t="s">
        <v>170</v>
      </c>
      <c r="D171" s="21"/>
      <c r="E171" s="59">
        <f>E58-E170</f>
        <v>4.6500000000000004</v>
      </c>
      <c r="F171" s="65">
        <f>E171-F172</f>
        <v>3.72</v>
      </c>
      <c r="G171" s="65">
        <f t="shared" ref="G171:J171" si="22">F171-G172</f>
        <v>2.79</v>
      </c>
      <c r="H171" s="65">
        <f t="shared" si="22"/>
        <v>1.8599999999999999</v>
      </c>
      <c r="I171" s="65">
        <f t="shared" si="22"/>
        <v>0.92999999999999983</v>
      </c>
      <c r="J171" s="65">
        <f t="shared" si="22"/>
        <v>0</v>
      </c>
    </row>
    <row r="172" spans="2:12" x14ac:dyDescent="0.2">
      <c r="C172" s="23" t="s">
        <v>38</v>
      </c>
      <c r="D172" s="23"/>
      <c r="E172" s="23"/>
      <c r="F172" s="59">
        <f>$E$171/'Key Assumptions'!$N$9</f>
        <v>0.93</v>
      </c>
      <c r="G172" s="59">
        <f>$E$171/'Key Assumptions'!$N$9</f>
        <v>0.93</v>
      </c>
      <c r="H172" s="59">
        <f>$E$171/'Key Assumptions'!$N$9</f>
        <v>0.93</v>
      </c>
      <c r="I172" s="59">
        <f>$E$171/'Key Assumptions'!$N$9</f>
        <v>0.93</v>
      </c>
      <c r="J172" s="59">
        <f>$E$171/'Key Assumptions'!$N$9</f>
        <v>0.93</v>
      </c>
      <c r="L172" s="1" t="s">
        <v>262</v>
      </c>
    </row>
    <row r="173" spans="2:12" x14ac:dyDescent="0.2">
      <c r="C173" s="23" t="s">
        <v>39</v>
      </c>
      <c r="D173" s="23"/>
      <c r="E173" s="23"/>
      <c r="F173" s="65">
        <f>AVERAGE(E171,F171)*'Key Assumptions'!$N$10</f>
        <v>0.58590000000000009</v>
      </c>
      <c r="G173" s="65">
        <f>AVERAGE(F171,G171)*'Key Assumptions'!$N$10</f>
        <v>0.45570000000000005</v>
      </c>
      <c r="H173" s="65">
        <f>AVERAGE(G171,H171)*'Key Assumptions'!$N$10</f>
        <v>0.32550000000000007</v>
      </c>
      <c r="I173" s="65">
        <f>AVERAGE(H171,I171)*'Key Assumptions'!$N$10</f>
        <v>0.1953</v>
      </c>
      <c r="J173" s="65">
        <f>AVERAGE(I171,J171)*'Key Assumptions'!$N$10</f>
        <v>6.5099999999999991E-2</v>
      </c>
      <c r="L173" s="1" t="s">
        <v>263</v>
      </c>
    </row>
    <row r="174" spans="2:12" x14ac:dyDescent="0.2">
      <c r="C174" s="74" t="s">
        <v>169</v>
      </c>
      <c r="D174" s="33"/>
      <c r="E174" s="33"/>
      <c r="F174" s="71"/>
      <c r="G174" s="71"/>
      <c r="H174" s="71"/>
      <c r="I174" s="71"/>
      <c r="J174" s="71"/>
    </row>
    <row r="175" spans="2:12" x14ac:dyDescent="0.2">
      <c r="C175" s="23" t="str">
        <f>C161</f>
        <v>Scenario 1, NPV=0, at Y=1</v>
      </c>
      <c r="D175" s="23" t="s">
        <v>28</v>
      </c>
      <c r="E175" s="23"/>
      <c r="F175" s="65">
        <f>F161-F$172</f>
        <v>1.4842799999999992</v>
      </c>
      <c r="G175" s="65">
        <f t="shared" ref="F175:J179" si="23">G161-G$172</f>
        <v>1.7691445800000003</v>
      </c>
      <c r="H175" s="65">
        <f t="shared" si="23"/>
        <v>2.0666584806000019</v>
      </c>
      <c r="I175" s="65">
        <f t="shared" si="23"/>
        <v>2.3777071542420005</v>
      </c>
      <c r="J175" s="65">
        <f t="shared" si="23"/>
        <v>2.70323803503894</v>
      </c>
    </row>
    <row r="176" spans="2:12" x14ac:dyDescent="0.2">
      <c r="B176" s="2"/>
      <c r="C176" s="23" t="str">
        <f t="shared" ref="C176:C179" si="24">C162</f>
        <v>Scenario 2, NPV=0, at Y=2</v>
      </c>
      <c r="D176" s="23" t="s">
        <v>28</v>
      </c>
      <c r="E176" s="23"/>
      <c r="F176" s="65">
        <f t="shared" si="23"/>
        <v>1.3087908476821193</v>
      </c>
      <c r="G176" s="65">
        <f t="shared" si="23"/>
        <v>1.5813711870198666</v>
      </c>
      <c r="H176" s="65">
        <f t="shared" si="23"/>
        <v>1.8657409501112583</v>
      </c>
      <c r="I176" s="65">
        <f t="shared" si="23"/>
        <v>2.1627253966190465</v>
      </c>
      <c r="J176" s="65">
        <f t="shared" si="23"/>
        <v>2.4732075543823795</v>
      </c>
    </row>
    <row r="177" spans="2:12" x14ac:dyDescent="0.2">
      <c r="C177" s="23" t="str">
        <f t="shared" si="24"/>
        <v>Scenario 3, NPV=0, at Y=3</v>
      </c>
      <c r="D177" s="23" t="s">
        <v>28</v>
      </c>
      <c r="E177" s="23"/>
      <c r="F177" s="65">
        <f t="shared" si="23"/>
        <v>1.1512714821988403</v>
      </c>
      <c r="G177" s="65">
        <f t="shared" si="23"/>
        <v>1.4128254659527593</v>
      </c>
      <c r="H177" s="65">
        <f t="shared" si="23"/>
        <v>1.6853970285694531</v>
      </c>
      <c r="I177" s="65">
        <f t="shared" si="23"/>
        <v>1.9697574005693155</v>
      </c>
      <c r="J177" s="65">
        <f t="shared" si="23"/>
        <v>2.2667317986091673</v>
      </c>
    </row>
    <row r="178" spans="2:12" x14ac:dyDescent="0.2">
      <c r="C178" s="23" t="str">
        <f t="shared" si="24"/>
        <v>Scenario 4, NPV=0, at Y=4</v>
      </c>
      <c r="D178" s="23" t="s">
        <v>28</v>
      </c>
      <c r="E178" s="23"/>
      <c r="F178" s="65">
        <f t="shared" si="23"/>
        <v>1.0099917380625705</v>
      </c>
      <c r="G178" s="65">
        <f t="shared" si="23"/>
        <v>1.2616561397269499</v>
      </c>
      <c r="H178" s="65">
        <f t="shared" si="23"/>
        <v>1.5236458495078371</v>
      </c>
      <c r="I178" s="65">
        <f t="shared" si="23"/>
        <v>1.7966836389733856</v>
      </c>
      <c r="J178" s="65">
        <f t="shared" si="23"/>
        <v>2.0815428737015211</v>
      </c>
    </row>
    <row r="179" spans="2:12" x14ac:dyDescent="0.2">
      <c r="C179" s="23" t="str">
        <f t="shared" si="24"/>
        <v>Scenario 5, NPV=0, at Y=5</v>
      </c>
      <c r="D179" s="23" t="s">
        <v>28</v>
      </c>
      <c r="E179" s="23"/>
      <c r="F179" s="65">
        <f t="shared" si="23"/>
        <v>0.88337505958464912</v>
      </c>
      <c r="G179" s="65">
        <f t="shared" si="23"/>
        <v>1.1261762937555724</v>
      </c>
      <c r="H179" s="65">
        <f t="shared" si="23"/>
        <v>1.3786824143184635</v>
      </c>
      <c r="I179" s="65">
        <f t="shared" si="23"/>
        <v>1.6415727633207555</v>
      </c>
      <c r="J179" s="65">
        <f t="shared" si="23"/>
        <v>1.9155742367532085</v>
      </c>
    </row>
    <row r="183" spans="2:12" x14ac:dyDescent="0.2">
      <c r="B183" s="2" t="s">
        <v>160</v>
      </c>
    </row>
    <row r="184" spans="2:12" x14ac:dyDescent="0.2">
      <c r="C184" s="23" t="str">
        <f>C175</f>
        <v>Scenario 1, NPV=0, at Y=1</v>
      </c>
      <c r="D184" s="23" t="s">
        <v>28</v>
      </c>
      <c r="E184" s="118">
        <f>-$E$170</f>
        <v>-4.6500000000000004</v>
      </c>
      <c r="F184" s="118">
        <f>E184+(F175)/(1+'Key Assumptions'!$N$23)^F$6</f>
        <v>-3.4079246861924695</v>
      </c>
      <c r="G184" s="118">
        <f>F184+(G175)/(1+'Key Assumptions'!$N$23)^G$6</f>
        <v>-2.1690496104760078</v>
      </c>
      <c r="H184" s="118">
        <f>G184+(H175)/(1+'Key Assumptions'!$N$23)^H$6</f>
        <v>-0.95799145485700543</v>
      </c>
      <c r="I184" s="118">
        <f>H184+(I175)/(1+'Key Assumptions'!$N$23)^I$6</f>
        <v>0.20797684588319121</v>
      </c>
      <c r="J184" s="118">
        <f>I184+(J175)/(1+'Key Assumptions'!$N$23)^J$6</f>
        <v>1.3172659903426678</v>
      </c>
    </row>
    <row r="185" spans="2:12" x14ac:dyDescent="0.2">
      <c r="C185" s="23" t="str">
        <f t="shared" ref="C185:C188" si="25">C176</f>
        <v>Scenario 2, NPV=0, at Y=2</v>
      </c>
      <c r="D185" s="23" t="s">
        <v>28</v>
      </c>
      <c r="E185" s="118">
        <f t="shared" ref="E185:E188" si="26">-$E$170</f>
        <v>-4.6500000000000004</v>
      </c>
      <c r="F185" s="118">
        <f>E185+(F176)/(1+'Key Assumptions'!$N$23)^F$6</f>
        <v>-3.5547775333204026</v>
      </c>
      <c r="G185" s="118">
        <f>F185+(G176)/(1+'Key Assumptions'!$N$23)^G$6</f>
        <v>-2.4473941282540581</v>
      </c>
      <c r="H185" s="118">
        <f>G185+(H176)/(1+'Key Assumptions'!$N$23)^H$6</f>
        <v>-1.3540732844305587</v>
      </c>
      <c r="I185" s="118">
        <f>H185+(I176)/(1+'Key Assumptions'!$N$23)^I$6</f>
        <v>-0.29352667709721314</v>
      </c>
      <c r="J185" s="118">
        <f>I185+(J176)/(1+'Key Assumptions'!$N$23)^J$6</f>
        <v>0.72136814774274005</v>
      </c>
      <c r="L185" s="1" t="s">
        <v>269</v>
      </c>
    </row>
    <row r="186" spans="2:12" x14ac:dyDescent="0.2">
      <c r="C186" s="23" t="str">
        <f t="shared" si="25"/>
        <v>Scenario 3, NPV=0, at Y=3</v>
      </c>
      <c r="D186" s="23" t="s">
        <v>28</v>
      </c>
      <c r="E186" s="118">
        <f t="shared" si="26"/>
        <v>-4.6500000000000004</v>
      </c>
      <c r="F186" s="118">
        <f>E186+(F177)/(1+'Key Assumptions'!$N$23)^F$6</f>
        <v>-3.6865929019256569</v>
      </c>
      <c r="G186" s="118">
        <f>F186+(G177)/(1+'Key Assumptions'!$N$23)^G$6</f>
        <v>-2.6972366469912132</v>
      </c>
      <c r="H186" s="118">
        <f>G186+(H177)/(1+'Key Assumptions'!$N$23)^H$6</f>
        <v>-1.7095970170933488</v>
      </c>
      <c r="I186" s="118">
        <f>H186+(I177)/(1+'Key Assumptions'!$N$23)^I$6</f>
        <v>-0.74367710340052962</v>
      </c>
      <c r="J186" s="118">
        <f>I186+(J177)/(1+'Key Assumptions'!$N$23)^J$6</f>
        <v>0.18648921751024927</v>
      </c>
      <c r="L186" s="1" t="s">
        <v>270</v>
      </c>
    </row>
    <row r="187" spans="2:12" x14ac:dyDescent="0.2">
      <c r="C187" s="23" t="str">
        <f t="shared" si="25"/>
        <v>Scenario 4, NPV=0, at Y=4</v>
      </c>
      <c r="D187" s="23" t="s">
        <v>28</v>
      </c>
      <c r="E187" s="118">
        <f t="shared" si="26"/>
        <v>-4.6500000000000004</v>
      </c>
      <c r="F187" s="118">
        <f>E187+(F178)/(1+'Key Assumptions'!$N$23)^F$6</f>
        <v>-3.8048186292363431</v>
      </c>
      <c r="G187" s="118">
        <f>F187+(G178)/(1+'Key Assumptions'!$N$23)^G$6</f>
        <v>-2.9213213937348987</v>
      </c>
      <c r="H187" s="118">
        <f>G187+(H178)/(1+'Key Assumptions'!$N$23)^H$6</f>
        <v>-2.0284676640824815</v>
      </c>
      <c r="I187" s="118">
        <f>H187+(I178)/(1+'Key Assumptions'!$N$23)^I$6</f>
        <v>-1.1474188075132012</v>
      </c>
      <c r="J187" s="118">
        <f>I187+(J178)/(1+'Key Assumptions'!$N$23)^J$6</f>
        <v>-0.29324581808542438</v>
      </c>
    </row>
    <row r="188" spans="2:12" x14ac:dyDescent="0.2">
      <c r="C188" s="23" t="str">
        <f t="shared" si="25"/>
        <v>Scenario 5, NPV=0, at Y=5</v>
      </c>
      <c r="D188" s="23" t="s">
        <v>28</v>
      </c>
      <c r="E188" s="118">
        <f t="shared" si="26"/>
        <v>-4.6500000000000004</v>
      </c>
      <c r="F188" s="118">
        <f>E188+(F179)/(1+'Key Assumptions'!$N$23)^F$6</f>
        <v>-3.9107740087157752</v>
      </c>
      <c r="G188" s="118">
        <f>F188+(G179)/(1+'Key Assumptions'!$N$23)^G$6</f>
        <v>-3.1221489540034471</v>
      </c>
      <c r="H188" s="118">
        <f>G188+(H179)/(1+'Key Assumptions'!$N$23)^H$6</f>
        <v>-2.3142435368567655</v>
      </c>
      <c r="I188" s="118">
        <f>H188+(I179)/(1+'Key Assumptions'!$N$23)^I$6</f>
        <v>-1.5092571860457591</v>
      </c>
      <c r="J188" s="118">
        <f>I188+(J179)/(1+'Key Assumptions'!$N$23)^J$6</f>
        <v>-0.72319037332204261</v>
      </c>
    </row>
    <row r="190" spans="2:12" x14ac:dyDescent="0.2">
      <c r="F190" s="73"/>
      <c r="G190" s="73"/>
      <c r="H190" s="73"/>
      <c r="I190" s="73"/>
      <c r="J190" s="73"/>
    </row>
    <row r="191" spans="2:12" x14ac:dyDescent="0.2">
      <c r="C191" s="33"/>
      <c r="D191" s="33"/>
      <c r="F191" s="73"/>
      <c r="G191" s="73"/>
      <c r="H191" s="73"/>
      <c r="I191" s="73"/>
      <c r="J191" s="73"/>
    </row>
    <row r="193" spans="2:12" x14ac:dyDescent="0.2">
      <c r="B193" s="2" t="s">
        <v>214</v>
      </c>
    </row>
    <row r="194" spans="2:12" x14ac:dyDescent="0.2">
      <c r="C194" s="23" t="s">
        <v>147</v>
      </c>
      <c r="D194" s="23" t="s">
        <v>20</v>
      </c>
      <c r="E194" s="78"/>
      <c r="F194" s="138">
        <f>$E$58/F175</f>
        <v>6.2656641604010064</v>
      </c>
      <c r="L194" s="1" t="s">
        <v>273</v>
      </c>
    </row>
    <row r="195" spans="2:12" x14ac:dyDescent="0.2">
      <c r="C195" s="23" t="s">
        <v>148</v>
      </c>
      <c r="D195" s="23" t="s">
        <v>20</v>
      </c>
      <c r="E195" s="78"/>
      <c r="F195" s="138">
        <f>$E$58/F176</f>
        <v>7.1057954114443778</v>
      </c>
    </row>
    <row r="196" spans="2:12" x14ac:dyDescent="0.2">
      <c r="C196" s="23" t="s">
        <v>149</v>
      </c>
      <c r="D196" s="23" t="s">
        <v>20</v>
      </c>
      <c r="E196" s="78"/>
      <c r="F196" s="138">
        <f>$E$58/F177</f>
        <v>8.0780251607012037</v>
      </c>
    </row>
    <row r="197" spans="2:12" x14ac:dyDescent="0.2">
      <c r="C197" s="23" t="s">
        <v>150</v>
      </c>
      <c r="D197" s="23" t="s">
        <v>20</v>
      </c>
      <c r="E197" s="78"/>
      <c r="F197" s="138">
        <f>$E$58/F178</f>
        <v>9.2079961147403484</v>
      </c>
    </row>
    <row r="198" spans="2:12" x14ac:dyDescent="0.2">
      <c r="C198" s="23" t="s">
        <v>151</v>
      </c>
      <c r="D198" s="23" t="s">
        <v>20</v>
      </c>
      <c r="E198" s="78"/>
      <c r="F198" s="138">
        <f>$E$58/F179</f>
        <v>10.527804582090798</v>
      </c>
    </row>
  </sheetData>
  <mergeCells count="1">
    <mergeCell ref="F22:J22"/>
  </mergeCells>
  <conditionalFormatting sqref="F21:J21 F190:J191">
    <cfRule type="cellIs" dxfId="3" priority="2" operator="greaterThan">
      <formula>0</formula>
    </cfRule>
  </conditionalFormatting>
  <conditionalFormatting sqref="F20:J20">
    <cfRule type="cellIs" dxfId="2" priority="1" operator="greaterThan">
      <formula>0</formula>
    </cfRule>
  </conditionalFormatting>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Goalseek_contract1A">
                <anchor moveWithCells="1" sizeWithCells="1">
                  <from>
                    <xdr:col>1</xdr:col>
                    <xdr:colOff>190500</xdr:colOff>
                    <xdr:row>1</xdr:row>
                    <xdr:rowOff>142875</xdr:rowOff>
                  </from>
                  <to>
                    <xdr:col>1</xdr:col>
                    <xdr:colOff>2466975</xdr:colOff>
                    <xdr:row>1</xdr:row>
                    <xdr:rowOff>561975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3:R36"/>
  <sheetViews>
    <sheetView zoomScale="85" zoomScaleNormal="85" workbookViewId="0">
      <selection activeCell="A17" sqref="A17"/>
    </sheetView>
  </sheetViews>
  <sheetFormatPr defaultColWidth="9.140625" defaultRowHeight="15" x14ac:dyDescent="0.25"/>
  <cols>
    <col min="1" max="1" width="3.140625" style="141" customWidth="1"/>
    <col min="2" max="2" width="2.28515625" style="141" customWidth="1"/>
    <col min="3" max="3" width="27.140625" style="141" customWidth="1"/>
    <col min="4" max="4" width="12.28515625" style="141" customWidth="1"/>
    <col min="5" max="5" width="11" style="141" customWidth="1"/>
    <col min="6" max="16384" width="9.140625" style="141"/>
  </cols>
  <sheetData>
    <row r="3" spans="2:18" ht="15.75" x14ac:dyDescent="0.25">
      <c r="C3" s="182" t="s">
        <v>303</v>
      </c>
      <c r="D3" s="197"/>
      <c r="E3" s="197"/>
      <c r="F3" s="197"/>
      <c r="G3" s="197"/>
      <c r="H3" s="197"/>
      <c r="I3" s="197"/>
      <c r="J3" s="197"/>
      <c r="K3" s="197"/>
      <c r="L3" s="197"/>
      <c r="M3" s="197"/>
      <c r="N3" s="197"/>
      <c r="O3" s="197"/>
      <c r="P3" s="197"/>
      <c r="Q3" s="197"/>
      <c r="R3" s="197"/>
    </row>
    <row r="4" spans="2:18" x14ac:dyDescent="0.25">
      <c r="B4" s="75"/>
      <c r="D4" s="75"/>
      <c r="E4" s="75"/>
    </row>
    <row r="5" spans="2:18" x14ac:dyDescent="0.25">
      <c r="B5" s="75" t="s">
        <v>279</v>
      </c>
    </row>
    <row r="6" spans="2:18" x14ac:dyDescent="0.25">
      <c r="C6" s="163" t="s">
        <v>282</v>
      </c>
      <c r="G6" s="3" t="s">
        <v>192</v>
      </c>
    </row>
    <row r="7" spans="2:18" x14ac:dyDescent="0.25">
      <c r="C7" s="23" t="s">
        <v>280</v>
      </c>
      <c r="D7" s="23" t="s">
        <v>28</v>
      </c>
      <c r="E7" s="167">
        <f>'Financial Analysis- Option 2'!E58</f>
        <v>9.3000000000000007</v>
      </c>
      <c r="G7" s="141" t="s">
        <v>288</v>
      </c>
    </row>
    <row r="9" spans="2:18" x14ac:dyDescent="0.25">
      <c r="C9" s="23" t="s">
        <v>281</v>
      </c>
      <c r="D9" s="23" t="s">
        <v>28</v>
      </c>
      <c r="E9" s="167">
        <f>'Financial Analysis- Option 2'!F76*E16+SUM('Financial Analysis- Option 2'!F77:F83)+SUM('Financial Analysis- Option 2'!F87:F89)</f>
        <v>13.483639999999999</v>
      </c>
      <c r="G9" s="141" t="s">
        <v>300</v>
      </c>
    </row>
    <row r="12" spans="2:18" x14ac:dyDescent="0.25">
      <c r="C12" s="163" t="s">
        <v>283</v>
      </c>
      <c r="E12" s="164"/>
    </row>
    <row r="13" spans="2:18" x14ac:dyDescent="0.25">
      <c r="C13" s="23" t="s">
        <v>281</v>
      </c>
      <c r="D13" s="23" t="s">
        <v>28</v>
      </c>
      <c r="E13" s="65">
        <f>'Financial Analysis- Option 2'!F93+'Financial Analysis- Option 2'!F92*E16</f>
        <v>8.6165599999999998</v>
      </c>
      <c r="G13" s="141" t="s">
        <v>290</v>
      </c>
    </row>
    <row r="14" spans="2:18" x14ac:dyDescent="0.25">
      <c r="E14" s="164"/>
    </row>
    <row r="15" spans="2:18" x14ac:dyDescent="0.25">
      <c r="C15" s="163" t="s">
        <v>294</v>
      </c>
    </row>
    <row r="16" spans="2:18" x14ac:dyDescent="0.25">
      <c r="C16" s="23" t="s">
        <v>298</v>
      </c>
      <c r="D16" s="23" t="s">
        <v>299</v>
      </c>
      <c r="E16" s="168">
        <v>2</v>
      </c>
      <c r="G16" s="141" t="s">
        <v>292</v>
      </c>
    </row>
    <row r="18" spans="2:7" x14ac:dyDescent="0.25">
      <c r="C18" s="165" t="s">
        <v>297</v>
      </c>
      <c r="D18" s="166" t="s">
        <v>28</v>
      </c>
      <c r="E18" s="169">
        <f>SUM(E13,E9)</f>
        <v>22.100200000000001</v>
      </c>
      <c r="G18" s="141" t="s">
        <v>296</v>
      </c>
    </row>
    <row r="20" spans="2:7" x14ac:dyDescent="0.25">
      <c r="C20" s="165" t="s">
        <v>295</v>
      </c>
      <c r="D20" s="166" t="s">
        <v>28</v>
      </c>
      <c r="E20" s="169">
        <f>SUM(E13,E9,E7)</f>
        <v>31.400200000000002</v>
      </c>
    </row>
    <row r="23" spans="2:7" x14ac:dyDescent="0.25">
      <c r="B23" s="75" t="s">
        <v>284</v>
      </c>
      <c r="E23" s="164"/>
    </row>
    <row r="24" spans="2:7" x14ac:dyDescent="0.25">
      <c r="C24" s="163" t="s">
        <v>282</v>
      </c>
      <c r="E24" s="164"/>
    </row>
    <row r="25" spans="2:7" x14ac:dyDescent="0.25">
      <c r="C25" s="23" t="s">
        <v>280</v>
      </c>
      <c r="D25" s="23" t="s">
        <v>28</v>
      </c>
      <c r="E25" s="65">
        <f>E7</f>
        <v>9.3000000000000007</v>
      </c>
      <c r="G25" s="141" t="s">
        <v>288</v>
      </c>
    </row>
    <row r="26" spans="2:7" x14ac:dyDescent="0.25">
      <c r="C26" s="23" t="s">
        <v>281</v>
      </c>
      <c r="D26" s="23" t="s">
        <v>28</v>
      </c>
      <c r="E26" s="65">
        <f>'Financial Analysis- Option 2'!F84+'Financial Analysis- Option 2'!F90</f>
        <v>8.969240000000001</v>
      </c>
      <c r="G26" s="141" t="s">
        <v>289</v>
      </c>
    </row>
    <row r="27" spans="2:7" x14ac:dyDescent="0.25">
      <c r="E27" s="164"/>
    </row>
    <row r="28" spans="2:7" x14ac:dyDescent="0.25">
      <c r="C28" s="163" t="s">
        <v>283</v>
      </c>
      <c r="E28" s="164"/>
    </row>
    <row r="29" spans="2:7" x14ac:dyDescent="0.25">
      <c r="C29" s="23" t="s">
        <v>281</v>
      </c>
      <c r="D29" s="23" t="s">
        <v>28</v>
      </c>
      <c r="E29" s="65">
        <f>'Financial Analysis- Option 2'!F94</f>
        <v>5.6832799999999999</v>
      </c>
      <c r="G29" s="141" t="s">
        <v>291</v>
      </c>
    </row>
    <row r="31" spans="2:7" x14ac:dyDescent="0.25">
      <c r="C31" s="163" t="s">
        <v>294</v>
      </c>
    </row>
    <row r="32" spans="2:7" x14ac:dyDescent="0.25">
      <c r="C32" s="23" t="s">
        <v>285</v>
      </c>
      <c r="D32" s="23" t="s">
        <v>286</v>
      </c>
      <c r="E32" s="168">
        <v>0.2</v>
      </c>
      <c r="G32" s="141" t="s">
        <v>292</v>
      </c>
    </row>
    <row r="34" spans="3:7" x14ac:dyDescent="0.25">
      <c r="C34" s="165" t="s">
        <v>287</v>
      </c>
      <c r="D34" s="166" t="s">
        <v>28</v>
      </c>
      <c r="E34" s="169">
        <f>SUM(E29,E26)*(1+E32)</f>
        <v>17.583024000000002</v>
      </c>
      <c r="G34" s="141" t="s">
        <v>293</v>
      </c>
    </row>
    <row r="36" spans="3:7" x14ac:dyDescent="0.25">
      <c r="C36" s="165" t="s">
        <v>295</v>
      </c>
      <c r="D36" s="166" t="s">
        <v>28</v>
      </c>
      <c r="E36" s="169">
        <f>SUM(E25,E34)</f>
        <v>26.883024000000002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3:M200"/>
  <sheetViews>
    <sheetView zoomScale="85" zoomScaleNormal="85" workbookViewId="0">
      <pane ySplit="6" topLeftCell="A7" activePane="bottomLeft" state="frozen"/>
      <selection pane="bottomLeft" activeCell="F204" sqref="F204"/>
    </sheetView>
  </sheetViews>
  <sheetFormatPr defaultColWidth="9.140625" defaultRowHeight="12.75" x14ac:dyDescent="0.2"/>
  <cols>
    <col min="1" max="1" width="3.28515625" style="1" customWidth="1"/>
    <col min="2" max="2" width="37.140625" style="1" customWidth="1"/>
    <col min="3" max="3" width="44.140625" style="1" customWidth="1"/>
    <col min="4" max="4" width="17.28515625" style="1" bestFit="1" customWidth="1"/>
    <col min="5" max="10" width="12.85546875" style="1" customWidth="1"/>
    <col min="11" max="16" width="14.28515625" style="1" customWidth="1"/>
    <col min="17" max="16384" width="9.140625" style="1"/>
  </cols>
  <sheetData>
    <row r="3" spans="2:10" ht="15" x14ac:dyDescent="0.25">
      <c r="B3" s="75" t="s">
        <v>210</v>
      </c>
    </row>
    <row r="4" spans="2:10" ht="15" x14ac:dyDescent="0.25">
      <c r="B4" s="75" t="s">
        <v>226</v>
      </c>
    </row>
    <row r="5" spans="2:10" x14ac:dyDescent="0.2">
      <c r="D5" s="64" t="s">
        <v>27</v>
      </c>
      <c r="E5" s="60"/>
      <c r="F5" s="60"/>
      <c r="G5" s="60"/>
      <c r="H5" s="63" t="s">
        <v>20</v>
      </c>
      <c r="I5" s="60"/>
      <c r="J5" s="60"/>
    </row>
    <row r="6" spans="2:10" x14ac:dyDescent="0.2">
      <c r="B6" s="2"/>
      <c r="C6" s="2"/>
      <c r="E6" s="3">
        <v>0</v>
      </c>
      <c r="F6" s="3">
        <v>1</v>
      </c>
      <c r="G6" s="3">
        <f>F6+1</f>
        <v>2</v>
      </c>
      <c r="H6" s="3">
        <f t="shared" ref="H6:J6" si="0">G6+1</f>
        <v>3</v>
      </c>
      <c r="I6" s="3">
        <f t="shared" si="0"/>
        <v>4</v>
      </c>
      <c r="J6" s="3">
        <f t="shared" si="0"/>
        <v>5</v>
      </c>
    </row>
    <row r="7" spans="2:10" x14ac:dyDescent="0.2">
      <c r="D7" s="4"/>
    </row>
    <row r="8" spans="2:10" x14ac:dyDescent="0.2">
      <c r="B8" s="2" t="s">
        <v>140</v>
      </c>
    </row>
    <row r="9" spans="2:10" x14ac:dyDescent="0.2">
      <c r="C9" s="23" t="s">
        <v>21</v>
      </c>
      <c r="D9" s="23" t="s">
        <v>28</v>
      </c>
      <c r="E9" s="104">
        <f>'Capital cost estimates'!D10</f>
        <v>9</v>
      </c>
    </row>
    <row r="10" spans="2:10" x14ac:dyDescent="0.2">
      <c r="C10" s="23" t="s">
        <v>22</v>
      </c>
      <c r="D10" s="23" t="s">
        <v>28</v>
      </c>
      <c r="E10" s="115">
        <f>'Capital cost estimates'!D22</f>
        <v>0.15000000000000002</v>
      </c>
    </row>
    <row r="11" spans="2:10" x14ac:dyDescent="0.2">
      <c r="C11" s="23" t="s">
        <v>23</v>
      </c>
      <c r="D11" s="23" t="s">
        <v>28</v>
      </c>
      <c r="E11" s="115">
        <f>'Capital cost estimates'!D26</f>
        <v>0.15000000000000002</v>
      </c>
    </row>
    <row r="12" spans="2:10" x14ac:dyDescent="0.2">
      <c r="C12" s="23" t="s">
        <v>143</v>
      </c>
      <c r="D12" s="23" t="s">
        <v>28</v>
      </c>
      <c r="E12" s="115">
        <f>'Capital cost estimates'!I17</f>
        <v>55</v>
      </c>
    </row>
    <row r="13" spans="2:10" x14ac:dyDescent="0.2">
      <c r="C13" s="23" t="s">
        <v>24</v>
      </c>
      <c r="D13" s="23" t="s">
        <v>28</v>
      </c>
      <c r="E13" s="67">
        <f>SUM(E9:E12)</f>
        <v>64.3</v>
      </c>
    </row>
    <row r="15" spans="2:10" x14ac:dyDescent="0.2">
      <c r="B15" s="2" t="s">
        <v>177</v>
      </c>
    </row>
    <row r="16" spans="2:10" x14ac:dyDescent="0.2">
      <c r="C16" s="23" t="s">
        <v>25</v>
      </c>
      <c r="D16" s="23" t="s">
        <v>28</v>
      </c>
      <c r="E16" s="115">
        <f>'Capital cost estimates'!D31</f>
        <v>0.5</v>
      </c>
    </row>
    <row r="17" spans="2:11" x14ac:dyDescent="0.2">
      <c r="C17" s="23" t="s">
        <v>182</v>
      </c>
      <c r="D17" s="23" t="s">
        <v>28</v>
      </c>
      <c r="E17" s="115">
        <f>'Capital cost estimates'!D32</f>
        <v>0.1</v>
      </c>
    </row>
    <row r="18" spans="2:11" x14ac:dyDescent="0.2">
      <c r="C18" s="23" t="s">
        <v>26</v>
      </c>
      <c r="D18" s="23" t="s">
        <v>28</v>
      </c>
      <c r="E18" s="115">
        <f>'Capital cost estimates'!D33</f>
        <v>0.1</v>
      </c>
    </row>
    <row r="19" spans="2:11" x14ac:dyDescent="0.2">
      <c r="C19" s="61" t="s">
        <v>24</v>
      </c>
      <c r="D19" s="61" t="s">
        <v>28</v>
      </c>
      <c r="E19" s="68">
        <f>'Capital cost estimates'!D34</f>
        <v>0.7</v>
      </c>
      <c r="I19" s="1" t="s">
        <v>113</v>
      </c>
    </row>
    <row r="20" spans="2:11" x14ac:dyDescent="0.2">
      <c r="B20" s="3" t="s">
        <v>181</v>
      </c>
    </row>
    <row r="21" spans="2:11" x14ac:dyDescent="0.2">
      <c r="B21" s="2" t="s">
        <v>115</v>
      </c>
    </row>
    <row r="22" spans="2:11" x14ac:dyDescent="0.2">
      <c r="C22" s="23" t="str">
        <f>'Key Assumptions'!M40</f>
        <v>Scenario 1, NPV=0, at Y=1</v>
      </c>
      <c r="D22" s="23" t="s">
        <v>28</v>
      </c>
      <c r="E22" s="23"/>
      <c r="F22" s="66">
        <f>F$51*(1+'Key Assumptions'!$AA40)</f>
        <v>52.388863471991137</v>
      </c>
      <c r="G22" s="66">
        <f>G$51*(1+'Key Assumptions'!$AA40)</f>
        <v>56.056083915030527</v>
      </c>
      <c r="H22" s="66">
        <f>H$51*(1+'Key Assumptions'!$AA40)</f>
        <v>59.980009789082658</v>
      </c>
      <c r="I22" s="66">
        <f>I$51*(1+'Key Assumptions'!$AA40)</f>
        <v>64.178610474318461</v>
      </c>
      <c r="J22" s="66">
        <f>J$51*(1+'Key Assumptions'!$AA40)</f>
        <v>68.671113207520747</v>
      </c>
      <c r="K22" s="73"/>
    </row>
    <row r="23" spans="2:11" x14ac:dyDescent="0.2">
      <c r="C23" s="23" t="str">
        <f>'Key Assumptions'!M41</f>
        <v>Scenario 2, NPV=0, at Y=2</v>
      </c>
      <c r="D23" s="23" t="s">
        <v>28</v>
      </c>
      <c r="E23" s="23"/>
      <c r="F23" s="66">
        <f>F$51*(1+'Key Assumptions'!$AA41)</f>
        <v>35.214942832044251</v>
      </c>
      <c r="G23" s="66">
        <f>G$51*(1+'Key Assumptions'!$AA41)</f>
        <v>37.679988830287357</v>
      </c>
      <c r="H23" s="66">
        <f>H$51*(1+'Key Assumptions'!$AA41)</f>
        <v>40.317588048407472</v>
      </c>
      <c r="I23" s="66">
        <f>I$51*(1+'Key Assumptions'!$AA41)</f>
        <v>43.139819211796002</v>
      </c>
      <c r="J23" s="66">
        <f>J$51*(1+'Key Assumptions'!$AA41)</f>
        <v>46.159606556621725</v>
      </c>
    </row>
    <row r="24" spans="2:11" x14ac:dyDescent="0.2">
      <c r="C24" s="23" t="str">
        <f>'Key Assumptions'!M42</f>
        <v>Scenario 3, NPV=0, at Y=3</v>
      </c>
      <c r="D24" s="23" t="s">
        <v>28</v>
      </c>
      <c r="E24" s="23"/>
      <c r="F24" s="66">
        <f>F$51*(1+'Key Assumptions'!$AA42)</f>
        <v>29.469084428861159</v>
      </c>
      <c r="G24" s="66">
        <f>G$51*(1+'Key Assumptions'!$AA42)</f>
        <v>31.531920338881445</v>
      </c>
      <c r="H24" s="66">
        <f>H$51*(1+'Key Assumptions'!$AA42)</f>
        <v>33.739154762603143</v>
      </c>
      <c r="I24" s="66">
        <f>I$51*(1+'Key Assumptions'!$AA42)</f>
        <v>36.100895595985371</v>
      </c>
      <c r="J24" s="66">
        <f>J$51*(1+'Key Assumptions'!$AA42)</f>
        <v>38.627958287704345</v>
      </c>
    </row>
    <row r="25" spans="2:11" x14ac:dyDescent="0.2">
      <c r="C25" s="23" t="str">
        <f>'Key Assumptions'!M43</f>
        <v>Scenario 4, NPV=0, at Y=4</v>
      </c>
      <c r="D25" s="23" t="s">
        <v>28</v>
      </c>
      <c r="E25" s="23"/>
      <c r="F25" s="66">
        <f>F$51*(1+'Key Assumptions'!$AA43)</f>
        <v>26.584887336130045</v>
      </c>
      <c r="G25" s="66">
        <f>G$51*(1+'Key Assumptions'!$AA43)</f>
        <v>28.445829449659154</v>
      </c>
      <c r="H25" s="66">
        <f>H$51*(1+'Key Assumptions'!$AA43)</f>
        <v>30.437037511135294</v>
      </c>
      <c r="I25" s="66">
        <f>I$51*(1+'Key Assumptions'!$AA43)</f>
        <v>32.567630136914772</v>
      </c>
      <c r="J25" s="66">
        <f>J$51*(1+'Key Assumptions'!$AA43)</f>
        <v>34.847364246498806</v>
      </c>
    </row>
    <row r="26" spans="2:11" x14ac:dyDescent="0.2">
      <c r="C26" s="23" t="str">
        <f>'Key Assumptions'!M44</f>
        <v>Scenario 5, NPV=0, at Y=5</v>
      </c>
      <c r="D26" s="23" t="s">
        <v>28</v>
      </c>
      <c r="E26" s="23"/>
      <c r="F26" s="66">
        <f>F$51*(1+'Key Assumptions'!$AA44)</f>
        <v>24.848603018114023</v>
      </c>
      <c r="G26" s="66">
        <f>G$51*(1+'Key Assumptions'!$AA44)</f>
        <v>26.588005229382009</v>
      </c>
      <c r="H26" s="66">
        <f>H$51*(1+'Key Assumptions'!$AA44)</f>
        <v>28.449165595438746</v>
      </c>
      <c r="I26" s="66">
        <f>I$51*(1+'Key Assumptions'!$AA44)</f>
        <v>30.440607187119468</v>
      </c>
      <c r="J26" s="66">
        <f>J$51*(1+'Key Assumptions'!$AA44)</f>
        <v>32.571449690217825</v>
      </c>
    </row>
    <row r="30" spans="2:11" x14ac:dyDescent="0.2">
      <c r="B30" s="2" t="s">
        <v>172</v>
      </c>
    </row>
    <row r="31" spans="2:11" x14ac:dyDescent="0.2">
      <c r="C31" s="23" t="s">
        <v>29</v>
      </c>
      <c r="D31" s="23" t="s">
        <v>28</v>
      </c>
      <c r="E31" s="23"/>
      <c r="F31" s="121">
        <f>'Operating cost estimates'!D9+'Operating cost estimates'!D13</f>
        <v>4.32</v>
      </c>
      <c r="G31" s="85">
        <f>F31*(1+'Key Assumptions'!$AA$29)</f>
        <v>4.6224000000000007</v>
      </c>
      <c r="H31" s="85">
        <f>G31*(1+'Key Assumptions'!$AA$29)</f>
        <v>4.9459680000000015</v>
      </c>
      <c r="I31" s="85">
        <f>H31*(1+'Key Assumptions'!$AA$29)</f>
        <v>5.2921857600000015</v>
      </c>
      <c r="J31" s="85">
        <f>I31*(1+'Key Assumptions'!$AA$29)</f>
        <v>5.6626387632000021</v>
      </c>
    </row>
    <row r="32" spans="2:11" x14ac:dyDescent="0.2">
      <c r="C32" s="23" t="s">
        <v>30</v>
      </c>
      <c r="D32" s="23" t="s">
        <v>28</v>
      </c>
      <c r="E32" s="23"/>
      <c r="F32" s="121">
        <f>'Operating cost estimates'!D32</f>
        <v>0.29988000000000004</v>
      </c>
      <c r="G32" s="85">
        <f>F32*(1+'Key Assumptions'!$AA$29)</f>
        <v>0.32087160000000003</v>
      </c>
      <c r="H32" s="85">
        <f>G32*(1+'Key Assumptions'!$AA$29)</f>
        <v>0.34333261200000004</v>
      </c>
      <c r="I32" s="85">
        <f>H32*(1+'Key Assumptions'!$AA$29)</f>
        <v>0.36736589484000004</v>
      </c>
      <c r="J32" s="85">
        <f>I32*(1+'Key Assumptions'!$AA$29)</f>
        <v>0.39308150747880005</v>
      </c>
    </row>
    <row r="33" spans="2:10" x14ac:dyDescent="0.2">
      <c r="C33" s="23" t="s">
        <v>14</v>
      </c>
      <c r="D33" s="23" t="s">
        <v>28</v>
      </c>
      <c r="E33" s="23"/>
      <c r="F33" s="121">
        <f>'Operating cost estimates'!D33</f>
        <v>0</v>
      </c>
      <c r="G33" s="85">
        <f>F33*(1+'Key Assumptions'!$AA$29)</f>
        <v>0</v>
      </c>
      <c r="H33" s="85">
        <f>G33*(1+'Key Assumptions'!$AA$29)</f>
        <v>0</v>
      </c>
      <c r="I33" s="85">
        <f>H33*(1+'Key Assumptions'!$AA$29)</f>
        <v>0</v>
      </c>
      <c r="J33" s="85">
        <f>I33*(1+'Key Assumptions'!$AA$29)</f>
        <v>0</v>
      </c>
    </row>
    <row r="34" spans="2:10" x14ac:dyDescent="0.2">
      <c r="C34" s="23" t="s">
        <v>31</v>
      </c>
      <c r="D34" s="23" t="s">
        <v>28</v>
      </c>
      <c r="E34" s="23"/>
      <c r="F34" s="121">
        <f>'Operating cost estimates'!D34</f>
        <v>0.36</v>
      </c>
      <c r="G34" s="85">
        <f>F34*(1+'Key Assumptions'!$AA$29)</f>
        <v>0.38519999999999999</v>
      </c>
      <c r="H34" s="85">
        <f>G34*(1+'Key Assumptions'!$AA$29)</f>
        <v>0.41216400000000003</v>
      </c>
      <c r="I34" s="85">
        <f>H34*(1+'Key Assumptions'!$AA$29)</f>
        <v>0.44101548000000007</v>
      </c>
      <c r="J34" s="85">
        <f>I34*(1+'Key Assumptions'!$AA$29)</f>
        <v>0.47188656360000009</v>
      </c>
    </row>
    <row r="35" spans="2:10" x14ac:dyDescent="0.2">
      <c r="C35" s="23" t="s">
        <v>15</v>
      </c>
      <c r="D35" s="23" t="s">
        <v>28</v>
      </c>
      <c r="E35" s="23"/>
      <c r="F35" s="121">
        <f>'Operating cost estimates'!D35</f>
        <v>1.7999999999999998</v>
      </c>
      <c r="G35" s="85">
        <f>F35*(1+'Key Assumptions'!$AA$29)</f>
        <v>1.9259999999999999</v>
      </c>
      <c r="H35" s="85">
        <f>G35*(1+'Key Assumptions'!$AA$29)</f>
        <v>2.0608200000000001</v>
      </c>
      <c r="I35" s="85">
        <f>H35*(1+'Key Assumptions'!$AA$29)</f>
        <v>2.2050774000000004</v>
      </c>
      <c r="J35" s="85">
        <f>I35*(1+'Key Assumptions'!$AA$29)</f>
        <v>2.3594328180000006</v>
      </c>
    </row>
    <row r="36" spans="2:10" x14ac:dyDescent="0.2">
      <c r="C36" s="23" t="s">
        <v>32</v>
      </c>
      <c r="D36" s="23" t="s">
        <v>28</v>
      </c>
      <c r="E36" s="23"/>
      <c r="F36" s="121">
        <f>'Operating cost estimates'!D40</f>
        <v>0.32400000000000001</v>
      </c>
      <c r="G36" s="85">
        <f>F36*(1+'Key Assumptions'!$AA$29)</f>
        <v>0.34668000000000004</v>
      </c>
      <c r="H36" s="85">
        <f>G36*(1+'Key Assumptions'!$AA$29)</f>
        <v>0.37094760000000004</v>
      </c>
      <c r="I36" s="85">
        <f>H36*(1+'Key Assumptions'!$AA$29)</f>
        <v>0.39691393200000008</v>
      </c>
      <c r="J36" s="85">
        <f>I36*(1+'Key Assumptions'!$AA$29)</f>
        <v>0.42469790724000012</v>
      </c>
    </row>
    <row r="37" spans="2:10" x14ac:dyDescent="0.2">
      <c r="C37" s="23" t="s">
        <v>33</v>
      </c>
      <c r="D37" s="23" t="s">
        <v>28</v>
      </c>
      <c r="E37" s="23"/>
      <c r="F37" s="122">
        <f>'Operating cost estimates'!D55</f>
        <v>0.12</v>
      </c>
      <c r="G37" s="85">
        <f>F37*(1+'Key Assumptions'!$AA$29)</f>
        <v>0.12840000000000001</v>
      </c>
      <c r="H37" s="85">
        <f>G37*(1+'Key Assumptions'!$AA$29)</f>
        <v>0.13738800000000001</v>
      </c>
      <c r="I37" s="85">
        <f>H37*(1+'Key Assumptions'!$AA$29)</f>
        <v>0.14700516000000002</v>
      </c>
      <c r="J37" s="85">
        <f>I37*(1+'Key Assumptions'!$AA$29)</f>
        <v>0.15729552120000004</v>
      </c>
    </row>
    <row r="38" spans="2:10" x14ac:dyDescent="0.2">
      <c r="C38" s="23" t="s">
        <v>34</v>
      </c>
      <c r="D38" s="23" t="s">
        <v>28</v>
      </c>
      <c r="E38" s="23"/>
      <c r="F38" s="122">
        <f>'Operating cost estimates'!D57</f>
        <v>0.24</v>
      </c>
      <c r="G38" s="85">
        <f>F38*(1+'Key Assumptions'!$AA$29)</f>
        <v>0.25680000000000003</v>
      </c>
      <c r="H38" s="85">
        <f>G38*(1+'Key Assumptions'!$AA$29)</f>
        <v>0.27477600000000002</v>
      </c>
      <c r="I38" s="85">
        <f>H38*(1+'Key Assumptions'!$AA$29)</f>
        <v>0.29401032000000005</v>
      </c>
      <c r="J38" s="85">
        <f>I38*(1+'Key Assumptions'!$AA$29)</f>
        <v>0.31459104240000008</v>
      </c>
    </row>
    <row r="39" spans="2:10" x14ac:dyDescent="0.2">
      <c r="C39" s="61" t="s">
        <v>24</v>
      </c>
      <c r="D39" s="61" t="s">
        <v>28</v>
      </c>
      <c r="E39" s="23"/>
      <c r="F39" s="84">
        <f>SUM(F31:F38)</f>
        <v>7.4638800000000005</v>
      </c>
      <c r="G39" s="84">
        <f t="shared" ref="G39:J39" si="1">SUM(G31:G38)</f>
        <v>7.9863516000000017</v>
      </c>
      <c r="H39" s="84">
        <f t="shared" si="1"/>
        <v>8.5453962120000018</v>
      </c>
      <c r="I39" s="84">
        <f t="shared" si="1"/>
        <v>9.1435739468400037</v>
      </c>
      <c r="J39" s="84">
        <f t="shared" si="1"/>
        <v>9.7836241231188037</v>
      </c>
    </row>
    <row r="40" spans="2:10" x14ac:dyDescent="0.2">
      <c r="F40" s="6"/>
    </row>
    <row r="41" spans="2:10" x14ac:dyDescent="0.2">
      <c r="B41" s="2" t="s">
        <v>141</v>
      </c>
    </row>
    <row r="42" spans="2:10" x14ac:dyDescent="0.2">
      <c r="C42" s="23" t="s">
        <v>18</v>
      </c>
      <c r="D42" s="23" t="s">
        <v>28</v>
      </c>
      <c r="E42" s="23"/>
      <c r="F42" s="115">
        <f>'Operating cost estimates'!J71</f>
        <v>0.96096000000000004</v>
      </c>
      <c r="G42" s="65">
        <f>F42*(1+'Key Assumptions'!$AA$29)</f>
        <v>1.0282272000000001</v>
      </c>
      <c r="H42" s="65">
        <f>G42*(1+'Key Assumptions'!$AA$29)</f>
        <v>1.1002031040000002</v>
      </c>
      <c r="I42" s="65">
        <f>H42*(1+'Key Assumptions'!$AA$29)</f>
        <v>1.1772173212800003</v>
      </c>
      <c r="J42" s="65">
        <f>I42*(1+'Key Assumptions'!$AA$29)</f>
        <v>1.2596225337696005</v>
      </c>
    </row>
    <row r="43" spans="2:10" x14ac:dyDescent="0.2">
      <c r="C43" s="23" t="s">
        <v>35</v>
      </c>
      <c r="D43" s="23" t="s">
        <v>28</v>
      </c>
      <c r="E43" s="23"/>
      <c r="F43" s="115">
        <f>'Operating cost estimates'!D63</f>
        <v>0.1</v>
      </c>
      <c r="G43" s="65">
        <f>F43*(1+'Key Assumptions'!$AA$29)</f>
        <v>0.10700000000000001</v>
      </c>
      <c r="H43" s="65">
        <f>G43*(1+'Key Assumptions'!$AA$29)</f>
        <v>0.11449000000000002</v>
      </c>
      <c r="I43" s="65">
        <f>H43*(1+'Key Assumptions'!$AA$29)</f>
        <v>0.12250430000000002</v>
      </c>
      <c r="J43" s="65">
        <f>I43*(1+'Key Assumptions'!$AA$29)</f>
        <v>0.13107960100000005</v>
      </c>
    </row>
    <row r="44" spans="2:10" x14ac:dyDescent="0.2">
      <c r="C44" s="23" t="s">
        <v>36</v>
      </c>
      <c r="D44" s="23" t="s">
        <v>28</v>
      </c>
      <c r="E44" s="23"/>
      <c r="F44" s="115">
        <f>'Operating cost estimates'!D62</f>
        <v>0.25</v>
      </c>
      <c r="G44" s="65">
        <f>F44*(1+'Key Assumptions'!$AA$29)</f>
        <v>0.26750000000000002</v>
      </c>
      <c r="H44" s="65">
        <f>G44*(1+'Key Assumptions'!$AA$29)</f>
        <v>0.28622500000000001</v>
      </c>
      <c r="I44" s="65">
        <f>H44*(1+'Key Assumptions'!$AA$29)</f>
        <v>0.30626075000000003</v>
      </c>
      <c r="J44" s="65">
        <f>I44*(1+'Key Assumptions'!$AA$29)</f>
        <v>0.32769900250000006</v>
      </c>
    </row>
    <row r="45" spans="2:10" x14ac:dyDescent="0.2">
      <c r="C45" s="61" t="s">
        <v>24</v>
      </c>
      <c r="D45" s="61" t="s">
        <v>28</v>
      </c>
      <c r="E45" s="23"/>
      <c r="F45" s="68">
        <f>SUM(F42:F44)</f>
        <v>1.3109600000000001</v>
      </c>
      <c r="G45" s="68">
        <f t="shared" ref="G45:J45" si="2">SUM(G42:G44)</f>
        <v>1.4027272000000002</v>
      </c>
      <c r="H45" s="68">
        <f t="shared" si="2"/>
        <v>1.5009181040000001</v>
      </c>
      <c r="I45" s="68">
        <f t="shared" si="2"/>
        <v>1.6059823712800005</v>
      </c>
      <c r="J45" s="68">
        <f t="shared" si="2"/>
        <v>1.7184011372696006</v>
      </c>
    </row>
    <row r="46" spans="2:10" x14ac:dyDescent="0.2">
      <c r="C46" s="70"/>
      <c r="D46" s="70"/>
      <c r="E46" s="33"/>
      <c r="F46" s="71"/>
      <c r="G46" s="71"/>
      <c r="H46" s="71"/>
      <c r="I46" s="71"/>
      <c r="J46" s="71"/>
    </row>
    <row r="47" spans="2:10" x14ac:dyDescent="0.2">
      <c r="B47" s="2" t="s">
        <v>142</v>
      </c>
      <c r="C47" s="23" t="s">
        <v>136</v>
      </c>
      <c r="D47" s="23" t="s">
        <v>28</v>
      </c>
      <c r="E47" s="23"/>
      <c r="F47" s="115">
        <f>'Operating cost estimates'!K9</f>
        <v>2.5200000000000005</v>
      </c>
      <c r="G47" s="66">
        <f>F47*(1+'Key Assumptions'!$AA$29)</f>
        <v>2.6964000000000006</v>
      </c>
      <c r="H47" s="66">
        <f>G47*(1+'Key Assumptions'!$AA$29)</f>
        <v>2.8851480000000009</v>
      </c>
      <c r="I47" s="66">
        <f>H47*(1+'Key Assumptions'!$AA$29)</f>
        <v>3.0871083600000011</v>
      </c>
      <c r="J47" s="66">
        <f>I47*(1+'Key Assumptions'!$AA$29)</f>
        <v>3.3032059452000015</v>
      </c>
    </row>
    <row r="48" spans="2:10" x14ac:dyDescent="0.2">
      <c r="B48" s="2"/>
      <c r="C48" s="23" t="s">
        <v>137</v>
      </c>
      <c r="D48" s="23" t="s">
        <v>28</v>
      </c>
      <c r="E48" s="23"/>
      <c r="F48" s="115">
        <f>'Operating cost estimates'!K13</f>
        <v>2.75</v>
      </c>
      <c r="G48" s="66">
        <f>F48*(1+'Key Assumptions'!$AA$29)</f>
        <v>2.9425000000000003</v>
      </c>
      <c r="H48" s="66">
        <f>G48*(1+'Key Assumptions'!$AA$29)</f>
        <v>3.1484750000000004</v>
      </c>
      <c r="I48" s="66">
        <f>H48*(1+'Key Assumptions'!$AA$29)</f>
        <v>3.3688682500000007</v>
      </c>
      <c r="J48" s="66">
        <f>I48*(1+'Key Assumptions'!$AA$29)</f>
        <v>3.604689027500001</v>
      </c>
    </row>
    <row r="49" spans="2:12" x14ac:dyDescent="0.2">
      <c r="C49" s="61" t="s">
        <v>144</v>
      </c>
      <c r="D49" s="61" t="s">
        <v>28</v>
      </c>
      <c r="E49" s="23"/>
      <c r="F49" s="68">
        <f>SUM(F47:F48)</f>
        <v>5.2700000000000005</v>
      </c>
      <c r="G49" s="68">
        <f t="shared" ref="G49:J49" si="3">SUM(G47:G48)</f>
        <v>5.6389000000000014</v>
      </c>
      <c r="H49" s="68">
        <f t="shared" si="3"/>
        <v>6.0336230000000013</v>
      </c>
      <c r="I49" s="68">
        <f t="shared" si="3"/>
        <v>6.4559766100000022</v>
      </c>
      <c r="J49" s="68">
        <f t="shared" si="3"/>
        <v>6.907894972700003</v>
      </c>
    </row>
    <row r="50" spans="2:12" x14ac:dyDescent="0.2">
      <c r="C50" s="70"/>
      <c r="D50" s="70"/>
      <c r="E50" s="33"/>
      <c r="F50" s="71"/>
      <c r="G50" s="71"/>
      <c r="H50" s="71"/>
      <c r="I50" s="71"/>
      <c r="J50" s="71"/>
    </row>
    <row r="51" spans="2:12" x14ac:dyDescent="0.2">
      <c r="B51" s="2" t="s">
        <v>114</v>
      </c>
      <c r="C51" s="61" t="s">
        <v>24</v>
      </c>
      <c r="D51" s="61" t="s">
        <v>28</v>
      </c>
      <c r="E51" s="72"/>
      <c r="F51" s="68">
        <f>F45+F39+F49</f>
        <v>14.044840000000001</v>
      </c>
      <c r="G51" s="68">
        <f t="shared" ref="G51:J51" si="4">G45+G39+G49</f>
        <v>15.027978800000003</v>
      </c>
      <c r="H51" s="68">
        <f>H45+H39+H49</f>
        <v>16.079937316000002</v>
      </c>
      <c r="I51" s="68">
        <f t="shared" si="4"/>
        <v>17.205532928120007</v>
      </c>
      <c r="J51" s="68">
        <f t="shared" si="4"/>
        <v>18.409920233088407</v>
      </c>
    </row>
    <row r="52" spans="2:12" x14ac:dyDescent="0.2">
      <c r="B52" s="2"/>
      <c r="C52" s="70"/>
      <c r="D52" s="70"/>
      <c r="E52" s="33"/>
      <c r="F52" s="71"/>
      <c r="G52" s="71"/>
      <c r="H52" s="71"/>
      <c r="I52" s="71"/>
      <c r="J52" s="71"/>
    </row>
    <row r="53" spans="2:12" x14ac:dyDescent="0.2">
      <c r="B53" s="2" t="s">
        <v>122</v>
      </c>
    </row>
    <row r="54" spans="2:12" x14ac:dyDescent="0.2">
      <c r="C54" s="23" t="str">
        <f t="shared" ref="C54:C58" si="5">C22</f>
        <v>Scenario 1, NPV=0, at Y=1</v>
      </c>
      <c r="D54" s="23" t="s">
        <v>28</v>
      </c>
      <c r="E54" s="23"/>
      <c r="F54" s="65">
        <f t="shared" ref="F54:J58" si="6">F22-F$51</f>
        <v>38.344023471991136</v>
      </c>
      <c r="G54" s="65">
        <f t="shared" si="6"/>
        <v>41.028105115030527</v>
      </c>
      <c r="H54" s="65">
        <f t="shared" si="6"/>
        <v>43.900072473082659</v>
      </c>
      <c r="I54" s="65">
        <f t="shared" si="6"/>
        <v>46.973077546198454</v>
      </c>
      <c r="J54" s="65">
        <f t="shared" si="6"/>
        <v>50.26119297443234</v>
      </c>
    </row>
    <row r="55" spans="2:12" x14ac:dyDescent="0.2">
      <c r="C55" s="23" t="str">
        <f t="shared" si="5"/>
        <v>Scenario 2, NPV=0, at Y=2</v>
      </c>
      <c r="D55" s="23" t="s">
        <v>28</v>
      </c>
      <c r="E55" s="23"/>
      <c r="F55" s="65">
        <f t="shared" si="6"/>
        <v>21.17010283204425</v>
      </c>
      <c r="G55" s="65">
        <f t="shared" si="6"/>
        <v>22.652010030287354</v>
      </c>
      <c r="H55" s="65">
        <f t="shared" si="6"/>
        <v>24.23765073240747</v>
      </c>
      <c r="I55" s="65">
        <f t="shared" si="6"/>
        <v>25.934286283675995</v>
      </c>
      <c r="J55" s="65">
        <f t="shared" si="6"/>
        <v>27.749686323533318</v>
      </c>
    </row>
    <row r="56" spans="2:12" x14ac:dyDescent="0.2">
      <c r="C56" s="23" t="str">
        <f t="shared" si="5"/>
        <v>Scenario 3, NPV=0, at Y=3</v>
      </c>
      <c r="D56" s="23" t="s">
        <v>28</v>
      </c>
      <c r="E56" s="23"/>
      <c r="F56" s="65">
        <f t="shared" si="6"/>
        <v>15.424244428861158</v>
      </c>
      <c r="G56" s="65">
        <f t="shared" si="6"/>
        <v>16.503941538881442</v>
      </c>
      <c r="H56" s="65">
        <f t="shared" si="6"/>
        <v>17.65921744660314</v>
      </c>
      <c r="I56" s="65">
        <f t="shared" si="6"/>
        <v>18.895362667865363</v>
      </c>
      <c r="J56" s="65">
        <f t="shared" si="6"/>
        <v>20.218038054615938</v>
      </c>
    </row>
    <row r="57" spans="2:12" x14ac:dyDescent="0.2">
      <c r="C57" s="23" t="str">
        <f t="shared" si="5"/>
        <v>Scenario 4, NPV=0, at Y=4</v>
      </c>
      <c r="D57" s="23" t="s">
        <v>28</v>
      </c>
      <c r="E57" s="23"/>
      <c r="F57" s="65">
        <f t="shared" si="6"/>
        <v>12.540047336130044</v>
      </c>
      <c r="G57" s="65">
        <f t="shared" si="6"/>
        <v>13.417850649659151</v>
      </c>
      <c r="H57" s="65">
        <f t="shared" si="6"/>
        <v>14.357100195135292</v>
      </c>
      <c r="I57" s="65">
        <f t="shared" si="6"/>
        <v>15.362097208794765</v>
      </c>
      <c r="J57" s="65">
        <f t="shared" si="6"/>
        <v>16.437444013410399</v>
      </c>
    </row>
    <row r="58" spans="2:12" x14ac:dyDescent="0.2">
      <c r="C58" s="23" t="str">
        <f t="shared" si="5"/>
        <v>Scenario 5, NPV=0, at Y=5</v>
      </c>
      <c r="D58" s="23" t="s">
        <v>28</v>
      </c>
      <c r="E58" s="23"/>
      <c r="F58" s="65">
        <f t="shared" si="6"/>
        <v>10.803763018114022</v>
      </c>
      <c r="G58" s="65">
        <f t="shared" si="6"/>
        <v>11.560026429382006</v>
      </c>
      <c r="H58" s="65">
        <f t="shared" si="6"/>
        <v>12.369228279438744</v>
      </c>
      <c r="I58" s="65">
        <f t="shared" si="6"/>
        <v>13.235074258999461</v>
      </c>
      <c r="J58" s="65">
        <f t="shared" si="6"/>
        <v>14.161529457129419</v>
      </c>
    </row>
    <row r="61" spans="2:12" x14ac:dyDescent="0.2">
      <c r="B61" s="2"/>
    </row>
    <row r="62" spans="2:12" x14ac:dyDescent="0.2">
      <c r="B62" s="2" t="s">
        <v>163</v>
      </c>
    </row>
    <row r="63" spans="2:12" x14ac:dyDescent="0.2">
      <c r="C63" s="23" t="s">
        <v>233</v>
      </c>
      <c r="D63" s="23" t="s">
        <v>28</v>
      </c>
      <c r="E63" s="23"/>
      <c r="F63" s="103">
        <f>SUM($E$9:$E$11)*'Key Assumptions'!AA$15</f>
        <v>1.50753</v>
      </c>
      <c r="G63" s="103">
        <f>SUM($E$9:$E$11)*'Key Assumptions'!AB$15</f>
        <v>1.50753</v>
      </c>
      <c r="H63" s="103">
        <f>SUM($E$9:$E$11)*'Key Assumptions'!AC$15</f>
        <v>1.50753</v>
      </c>
      <c r="I63" s="103">
        <f>SUM($E$9:$E$11)*'Key Assumptions'!AD$15</f>
        <v>1.50753</v>
      </c>
      <c r="J63" s="103">
        <f>SUM($E$9:$E$11)*'Key Assumptions'!AE$15</f>
        <v>1.50753</v>
      </c>
      <c r="L63" s="5"/>
    </row>
    <row r="64" spans="2:12" ht="25.5" x14ac:dyDescent="0.2">
      <c r="C64" s="62" t="s">
        <v>234</v>
      </c>
      <c r="D64" s="23" t="s">
        <v>28</v>
      </c>
      <c r="E64" s="104">
        <f>SUM(E9:E11)</f>
        <v>9.3000000000000007</v>
      </c>
      <c r="F64" s="65">
        <f>E64-F63</f>
        <v>7.7924700000000007</v>
      </c>
      <c r="G64" s="65">
        <f>F64-G63</f>
        <v>6.2849400000000006</v>
      </c>
      <c r="H64" s="65">
        <f>G64-H63</f>
        <v>4.7774100000000006</v>
      </c>
      <c r="I64" s="65">
        <f>H64-I63</f>
        <v>3.2698800000000006</v>
      </c>
      <c r="J64" s="65">
        <f>I64-J63</f>
        <v>1.7623500000000005</v>
      </c>
    </row>
    <row r="66" spans="2:13" x14ac:dyDescent="0.2">
      <c r="B66" s="2" t="s">
        <v>171</v>
      </c>
    </row>
    <row r="67" spans="2:13" x14ac:dyDescent="0.2">
      <c r="C67" s="23" t="str">
        <f>C54</f>
        <v>Scenario 1, NPV=0, at Y=1</v>
      </c>
      <c r="D67" s="23" t="s">
        <v>28</v>
      </c>
      <c r="E67" s="23"/>
      <c r="F67" s="65">
        <f>F54-F$63</f>
        <v>36.836493471991133</v>
      </c>
      <c r="G67" s="65">
        <f t="shared" ref="G67:J67" si="7">G54-G$63</f>
        <v>39.520575115030525</v>
      </c>
      <c r="H67" s="65">
        <f t="shared" si="7"/>
        <v>42.392542473082656</v>
      </c>
      <c r="I67" s="65">
        <f t="shared" si="7"/>
        <v>45.465547546198451</v>
      </c>
      <c r="J67" s="65">
        <f t="shared" si="7"/>
        <v>48.753662974432338</v>
      </c>
    </row>
    <row r="68" spans="2:13" x14ac:dyDescent="0.2">
      <c r="C68" s="23" t="str">
        <f t="shared" ref="C68:C71" si="8">C55</f>
        <v>Scenario 2, NPV=0, at Y=2</v>
      </c>
      <c r="D68" s="23" t="s">
        <v>28</v>
      </c>
      <c r="E68" s="23"/>
      <c r="F68" s="65">
        <f t="shared" ref="F68:J71" si="9">F55-F$63</f>
        <v>19.662572832044251</v>
      </c>
      <c r="G68" s="65">
        <f t="shared" si="9"/>
        <v>21.144480030287355</v>
      </c>
      <c r="H68" s="65">
        <f t="shared" si="9"/>
        <v>22.730120732407471</v>
      </c>
      <c r="I68" s="65">
        <f t="shared" si="9"/>
        <v>24.426756283675996</v>
      </c>
      <c r="J68" s="65">
        <f t="shared" si="9"/>
        <v>26.242156323533319</v>
      </c>
    </row>
    <row r="69" spans="2:13" x14ac:dyDescent="0.2">
      <c r="C69" s="23" t="str">
        <f t="shared" si="8"/>
        <v>Scenario 3, NPV=0, at Y=3</v>
      </c>
      <c r="D69" s="23" t="s">
        <v>28</v>
      </c>
      <c r="E69" s="23"/>
      <c r="F69" s="65">
        <f t="shared" si="9"/>
        <v>13.916714428861159</v>
      </c>
      <c r="G69" s="65">
        <f t="shared" si="9"/>
        <v>14.996411538881443</v>
      </c>
      <c r="H69" s="65">
        <f t="shared" si="9"/>
        <v>16.151687446603141</v>
      </c>
      <c r="I69" s="65">
        <f t="shared" si="9"/>
        <v>17.387832667865364</v>
      </c>
      <c r="J69" s="65">
        <f t="shared" si="9"/>
        <v>18.710508054615939</v>
      </c>
      <c r="M69" s="100"/>
    </row>
    <row r="70" spans="2:13" x14ac:dyDescent="0.2">
      <c r="C70" s="23" t="str">
        <f t="shared" si="8"/>
        <v>Scenario 4, NPV=0, at Y=4</v>
      </c>
      <c r="D70" s="23" t="s">
        <v>28</v>
      </c>
      <c r="E70" s="23"/>
      <c r="F70" s="65">
        <f t="shared" si="9"/>
        <v>11.032517336130045</v>
      </c>
      <c r="G70" s="65">
        <f t="shared" si="9"/>
        <v>11.910320649659152</v>
      </c>
      <c r="H70" s="65">
        <f t="shared" si="9"/>
        <v>12.849570195135293</v>
      </c>
      <c r="I70" s="65">
        <f t="shared" si="9"/>
        <v>13.854567208794766</v>
      </c>
      <c r="J70" s="65">
        <f t="shared" si="9"/>
        <v>14.9299140134104</v>
      </c>
    </row>
    <row r="71" spans="2:13" x14ac:dyDescent="0.2">
      <c r="C71" s="23" t="str">
        <f t="shared" si="8"/>
        <v>Scenario 5, NPV=0, at Y=5</v>
      </c>
      <c r="D71" s="23" t="s">
        <v>28</v>
      </c>
      <c r="E71" s="23"/>
      <c r="F71" s="65">
        <f t="shared" si="9"/>
        <v>9.2962330181140231</v>
      </c>
      <c r="G71" s="65">
        <f t="shared" si="9"/>
        <v>10.052496429382007</v>
      </c>
      <c r="H71" s="65">
        <f t="shared" si="9"/>
        <v>10.861698279438745</v>
      </c>
      <c r="I71" s="65">
        <f t="shared" si="9"/>
        <v>11.727544258999462</v>
      </c>
      <c r="J71" s="65">
        <f t="shared" si="9"/>
        <v>12.653999457129419</v>
      </c>
    </row>
    <row r="75" spans="2:13" x14ac:dyDescent="0.2">
      <c r="B75" s="2" t="s">
        <v>167</v>
      </c>
      <c r="F75" s="116">
        <f>F128+F140</f>
        <v>4.0509000000000004</v>
      </c>
      <c r="G75" s="116">
        <f t="shared" ref="G75:J75" si="10">G128+G140</f>
        <v>3.1507000000000005</v>
      </c>
      <c r="H75" s="116">
        <f t="shared" si="10"/>
        <v>2.2505000000000002</v>
      </c>
      <c r="I75" s="116">
        <f t="shared" si="10"/>
        <v>1.3503000000000001</v>
      </c>
      <c r="J75" s="116">
        <f t="shared" si="10"/>
        <v>0.4501</v>
      </c>
    </row>
    <row r="78" spans="2:13" x14ac:dyDescent="0.2">
      <c r="B78" s="2" t="s">
        <v>164</v>
      </c>
    </row>
    <row r="79" spans="2:13" x14ac:dyDescent="0.2">
      <c r="C79" s="23" t="s">
        <v>164</v>
      </c>
    </row>
    <row r="80" spans="2:13" x14ac:dyDescent="0.2">
      <c r="C80" s="23" t="str">
        <f>C67</f>
        <v>Scenario 1, NPV=0, at Y=1</v>
      </c>
      <c r="D80" s="23" t="s">
        <v>28</v>
      </c>
      <c r="E80" s="23"/>
      <c r="F80" s="65">
        <f>F67-F$75</f>
        <v>32.785593471991135</v>
      </c>
      <c r="G80" s="65">
        <f t="shared" ref="G80:J80" si="11">G67-G$75</f>
        <v>36.369875115030524</v>
      </c>
      <c r="H80" s="65">
        <f t="shared" si="11"/>
        <v>40.142042473082654</v>
      </c>
      <c r="I80" s="65">
        <f t="shared" si="11"/>
        <v>44.115247546198454</v>
      </c>
      <c r="J80" s="65">
        <f t="shared" si="11"/>
        <v>48.303562974432339</v>
      </c>
    </row>
    <row r="81" spans="2:10" x14ac:dyDescent="0.2">
      <c r="C81" s="23" t="str">
        <f t="shared" ref="C81:C84" si="12">C68</f>
        <v>Scenario 2, NPV=0, at Y=2</v>
      </c>
      <c r="D81" s="23" t="s">
        <v>28</v>
      </c>
      <c r="E81" s="23"/>
      <c r="F81" s="65">
        <f t="shared" ref="F81:J84" si="13">F68-F$75</f>
        <v>15.611672832044251</v>
      </c>
      <c r="G81" s="65">
        <f t="shared" si="13"/>
        <v>17.993780030287354</v>
      </c>
      <c r="H81" s="65">
        <f t="shared" si="13"/>
        <v>20.479620732407472</v>
      </c>
      <c r="I81" s="65">
        <f t="shared" si="13"/>
        <v>23.076456283675995</v>
      </c>
      <c r="J81" s="65">
        <f t="shared" si="13"/>
        <v>25.79205632353332</v>
      </c>
    </row>
    <row r="82" spans="2:10" x14ac:dyDescent="0.2">
      <c r="C82" s="23" t="str">
        <f t="shared" si="12"/>
        <v>Scenario 3, NPV=0, at Y=3</v>
      </c>
      <c r="D82" s="23" t="s">
        <v>28</v>
      </c>
      <c r="E82" s="23"/>
      <c r="F82" s="65">
        <f t="shared" si="13"/>
        <v>9.8658144288611584</v>
      </c>
      <c r="G82" s="65">
        <f t="shared" si="13"/>
        <v>11.845711538881442</v>
      </c>
      <c r="H82" s="65">
        <f t="shared" si="13"/>
        <v>13.90118744660314</v>
      </c>
      <c r="I82" s="65">
        <f t="shared" si="13"/>
        <v>16.037532667865364</v>
      </c>
      <c r="J82" s="65">
        <f t="shared" si="13"/>
        <v>18.26040805461594</v>
      </c>
    </row>
    <row r="83" spans="2:10" x14ac:dyDescent="0.2">
      <c r="C83" s="23" t="str">
        <f t="shared" si="12"/>
        <v>Scenario 4, NPV=0, at Y=4</v>
      </c>
      <c r="D83" s="23" t="s">
        <v>28</v>
      </c>
      <c r="E83" s="23"/>
      <c r="F83" s="65">
        <f t="shared" si="13"/>
        <v>6.9816173361300446</v>
      </c>
      <c r="G83" s="65">
        <f t="shared" si="13"/>
        <v>8.7596206496591513</v>
      </c>
      <c r="H83" s="65">
        <f t="shared" si="13"/>
        <v>10.599070195135292</v>
      </c>
      <c r="I83" s="65">
        <f t="shared" si="13"/>
        <v>12.504267208794765</v>
      </c>
      <c r="J83" s="65">
        <f t="shared" si="13"/>
        <v>14.479814013410399</v>
      </c>
    </row>
    <row r="84" spans="2:10" x14ac:dyDescent="0.2">
      <c r="C84" s="23" t="str">
        <f t="shared" si="12"/>
        <v>Scenario 5, NPV=0, at Y=5</v>
      </c>
      <c r="D84" s="23" t="s">
        <v>28</v>
      </c>
      <c r="E84" s="23"/>
      <c r="F84" s="65">
        <f t="shared" si="13"/>
        <v>5.2453330181140227</v>
      </c>
      <c r="G84" s="65">
        <f t="shared" si="13"/>
        <v>6.9017964293820064</v>
      </c>
      <c r="H84" s="65">
        <f t="shared" si="13"/>
        <v>8.6111982794387441</v>
      </c>
      <c r="I84" s="65">
        <f t="shared" si="13"/>
        <v>10.377244258999461</v>
      </c>
      <c r="J84" s="65">
        <f t="shared" si="13"/>
        <v>12.203899457129419</v>
      </c>
    </row>
    <row r="89" spans="2:10" x14ac:dyDescent="0.2">
      <c r="B89" s="2" t="s">
        <v>165</v>
      </c>
    </row>
    <row r="90" spans="2:10" x14ac:dyDescent="0.2">
      <c r="B90" s="2"/>
      <c r="C90" s="23" t="s">
        <v>166</v>
      </c>
      <c r="D90" s="4"/>
    </row>
    <row r="91" spans="2:10" x14ac:dyDescent="0.2">
      <c r="C91" s="23" t="str">
        <f>C80</f>
        <v>Scenario 1, NPV=0, at Y=1</v>
      </c>
      <c r="D91" s="23" t="s">
        <v>28</v>
      </c>
      <c r="E91" s="23"/>
      <c r="F91" s="65">
        <f>MAX("0",(F80*'Key Assumptions'!$AA$30))</f>
        <v>6.5571186943982269</v>
      </c>
      <c r="G91" s="65">
        <f>MAX("0",(G80*'Key Assumptions'!$AA$30))</f>
        <v>7.2739750230061055</v>
      </c>
      <c r="H91" s="65">
        <f>MAX("0",(H80*'Key Assumptions'!$AA$30))</f>
        <v>8.0284084946165315</v>
      </c>
      <c r="I91" s="65">
        <f>MAX("0",(I80*'Key Assumptions'!$AA$30))</f>
        <v>8.8230495092396914</v>
      </c>
      <c r="J91" s="65">
        <f>MAX("0",(J80*'Key Assumptions'!$AA$30))</f>
        <v>9.6607125948864692</v>
      </c>
    </row>
    <row r="92" spans="2:10" x14ac:dyDescent="0.2">
      <c r="C92" s="23" t="str">
        <f t="shared" ref="C92:C95" si="14">C81</f>
        <v>Scenario 2, NPV=0, at Y=2</v>
      </c>
      <c r="D92" s="23" t="s">
        <v>28</v>
      </c>
      <c r="E92" s="23"/>
      <c r="F92" s="65">
        <f>MAX("0",(F81*'Key Assumptions'!$AA$30))</f>
        <v>3.1223345664088504</v>
      </c>
      <c r="G92" s="65">
        <f>MAX("0",(G81*'Key Assumptions'!$AA$30))</f>
        <v>3.5987560060574708</v>
      </c>
      <c r="H92" s="65">
        <f>MAX("0",(H81*'Key Assumptions'!$AA$30))</f>
        <v>4.0959241464814946</v>
      </c>
      <c r="I92" s="65">
        <f>MAX("0",(I81*'Key Assumptions'!$AA$30))</f>
        <v>4.6152912567351994</v>
      </c>
      <c r="J92" s="65">
        <f>MAX("0",(J81*'Key Assumptions'!$AA$30))</f>
        <v>5.1584112647066647</v>
      </c>
    </row>
    <row r="93" spans="2:10" x14ac:dyDescent="0.2">
      <c r="C93" s="23" t="str">
        <f t="shared" si="14"/>
        <v>Scenario 3, NPV=0, at Y=3</v>
      </c>
      <c r="D93" s="23" t="s">
        <v>28</v>
      </c>
      <c r="E93" s="23"/>
      <c r="F93" s="65">
        <f>MAX("0",(F82*'Key Assumptions'!$AA$30))</f>
        <v>1.9731628857722319</v>
      </c>
      <c r="G93" s="65">
        <f>MAX("0",(G82*'Key Assumptions'!$AA$30))</f>
        <v>2.3691423077762885</v>
      </c>
      <c r="H93" s="65">
        <f>MAX("0",(H82*'Key Assumptions'!$AA$30))</f>
        <v>2.7802374893206281</v>
      </c>
      <c r="I93" s="65">
        <f>MAX("0",(I82*'Key Assumptions'!$AA$30))</f>
        <v>3.2075065335730728</v>
      </c>
      <c r="J93" s="65">
        <f>MAX("0",(J82*'Key Assumptions'!$AA$30))</f>
        <v>3.6520816109231884</v>
      </c>
    </row>
    <row r="94" spans="2:10" x14ac:dyDescent="0.2">
      <c r="C94" s="23" t="str">
        <f t="shared" si="14"/>
        <v>Scenario 4, NPV=0, at Y=4</v>
      </c>
      <c r="D94" s="23" t="s">
        <v>28</v>
      </c>
      <c r="E94" s="23"/>
      <c r="F94" s="65">
        <f>MAX("0",(F83*'Key Assumptions'!$AA$30))</f>
        <v>1.396323467226009</v>
      </c>
      <c r="G94" s="65">
        <f>MAX("0",(G83*'Key Assumptions'!$AA$30))</f>
        <v>1.7519241299318304</v>
      </c>
      <c r="H94" s="65">
        <f>MAX("0",(H83*'Key Assumptions'!$AA$30))</f>
        <v>2.1198140390270583</v>
      </c>
      <c r="I94" s="65">
        <f>MAX("0",(I83*'Key Assumptions'!$AA$30))</f>
        <v>2.5008534417589532</v>
      </c>
      <c r="J94" s="65">
        <f>MAX("0",(J83*'Key Assumptions'!$AA$30))</f>
        <v>2.8959628026820798</v>
      </c>
    </row>
    <row r="95" spans="2:10" x14ac:dyDescent="0.2">
      <c r="C95" s="23" t="str">
        <f t="shared" si="14"/>
        <v>Scenario 5, NPV=0, at Y=5</v>
      </c>
      <c r="D95" s="23" t="s">
        <v>28</v>
      </c>
      <c r="E95" s="23"/>
      <c r="F95" s="65">
        <f>MAX("0",(F84*'Key Assumptions'!$AA$30))</f>
        <v>1.0490666036228047</v>
      </c>
      <c r="G95" s="65">
        <f>MAX("0",(G84*'Key Assumptions'!$AA$30))</f>
        <v>1.3803592858764013</v>
      </c>
      <c r="H95" s="65">
        <f>MAX("0",(H84*'Key Assumptions'!$AA$30))</f>
        <v>1.7222396558877489</v>
      </c>
      <c r="I95" s="65">
        <f>MAX("0",(I84*'Key Assumptions'!$AA$30))</f>
        <v>2.0754488517998921</v>
      </c>
      <c r="J95" s="65">
        <f>MAX("0",(J84*'Key Assumptions'!$AA$30))</f>
        <v>2.4407798914258838</v>
      </c>
    </row>
    <row r="100" spans="2:10" x14ac:dyDescent="0.2">
      <c r="B100" s="2" t="s">
        <v>123</v>
      </c>
    </row>
    <row r="101" spans="2:10" x14ac:dyDescent="0.2">
      <c r="C101" s="61" t="s">
        <v>40</v>
      </c>
    </row>
    <row r="102" spans="2:10" x14ac:dyDescent="0.2">
      <c r="C102" s="23" t="str">
        <f>C91</f>
        <v>Scenario 1, NPV=0, at Y=1</v>
      </c>
      <c r="D102" s="23" t="s">
        <v>28</v>
      </c>
      <c r="E102" s="23"/>
      <c r="F102" s="65">
        <f>F80-F91</f>
        <v>26.228474777592908</v>
      </c>
      <c r="G102" s="65">
        <f t="shared" ref="F102:J106" si="15">G80-G91</f>
        <v>29.095900092024419</v>
      </c>
      <c r="H102" s="65">
        <f t="shared" si="15"/>
        <v>32.113633978466126</v>
      </c>
      <c r="I102" s="65">
        <f t="shared" si="15"/>
        <v>35.292198036958766</v>
      </c>
      <c r="J102" s="65">
        <f t="shared" si="15"/>
        <v>38.64285037954587</v>
      </c>
    </row>
    <row r="103" spans="2:10" x14ac:dyDescent="0.2">
      <c r="C103" s="23" t="str">
        <f t="shared" ref="C103:C106" si="16">C92</f>
        <v>Scenario 2, NPV=0, at Y=2</v>
      </c>
      <c r="D103" s="23" t="s">
        <v>28</v>
      </c>
      <c r="E103" s="23"/>
      <c r="F103" s="65">
        <f t="shared" si="15"/>
        <v>12.4893382656354</v>
      </c>
      <c r="G103" s="65">
        <f t="shared" si="15"/>
        <v>14.395024024229883</v>
      </c>
      <c r="H103" s="65">
        <f t="shared" si="15"/>
        <v>16.383696585925978</v>
      </c>
      <c r="I103" s="65">
        <f t="shared" si="15"/>
        <v>18.461165026940797</v>
      </c>
      <c r="J103" s="65">
        <f t="shared" si="15"/>
        <v>20.633645058826655</v>
      </c>
    </row>
    <row r="104" spans="2:10" x14ac:dyDescent="0.2">
      <c r="C104" s="23" t="str">
        <f t="shared" si="16"/>
        <v>Scenario 3, NPV=0, at Y=3</v>
      </c>
      <c r="D104" s="23" t="s">
        <v>28</v>
      </c>
      <c r="E104" s="23"/>
      <c r="F104" s="65">
        <f t="shared" si="15"/>
        <v>7.8926515430889266</v>
      </c>
      <c r="G104" s="65">
        <f t="shared" si="15"/>
        <v>9.4765692311051541</v>
      </c>
      <c r="H104" s="65">
        <f t="shared" si="15"/>
        <v>11.120949957282512</v>
      </c>
      <c r="I104" s="65">
        <f t="shared" si="15"/>
        <v>12.830026134292291</v>
      </c>
      <c r="J104" s="65">
        <f t="shared" si="15"/>
        <v>14.608326443692752</v>
      </c>
    </row>
    <row r="105" spans="2:10" x14ac:dyDescent="0.2">
      <c r="C105" s="23" t="str">
        <f t="shared" si="16"/>
        <v>Scenario 4, NPV=0, at Y=4</v>
      </c>
      <c r="D105" s="23" t="s">
        <v>28</v>
      </c>
      <c r="E105" s="23"/>
      <c r="F105" s="65">
        <f t="shared" si="15"/>
        <v>5.5852938689040359</v>
      </c>
      <c r="G105" s="65">
        <f t="shared" si="15"/>
        <v>7.0076965197273209</v>
      </c>
      <c r="H105" s="65">
        <f t="shared" si="15"/>
        <v>8.4792561561082334</v>
      </c>
      <c r="I105" s="65">
        <f t="shared" si="15"/>
        <v>10.003413767035813</v>
      </c>
      <c r="J105" s="65">
        <f t="shared" si="15"/>
        <v>11.583851210728319</v>
      </c>
    </row>
    <row r="106" spans="2:10" x14ac:dyDescent="0.2">
      <c r="C106" s="23" t="str">
        <f t="shared" si="16"/>
        <v>Scenario 5, NPV=0, at Y=5</v>
      </c>
      <c r="D106" s="23" t="s">
        <v>28</v>
      </c>
      <c r="E106" s="23"/>
      <c r="F106" s="65">
        <f t="shared" si="15"/>
        <v>4.1962664144912178</v>
      </c>
      <c r="G106" s="65">
        <f t="shared" si="15"/>
        <v>5.5214371435056053</v>
      </c>
      <c r="H106" s="65">
        <f t="shared" si="15"/>
        <v>6.8889586235509954</v>
      </c>
      <c r="I106" s="65">
        <f t="shared" si="15"/>
        <v>8.3017954071995685</v>
      </c>
      <c r="J106" s="65">
        <f t="shared" si="15"/>
        <v>9.7631195657035352</v>
      </c>
    </row>
    <row r="111" spans="2:10" x14ac:dyDescent="0.2">
      <c r="B111" s="2" t="s">
        <v>162</v>
      </c>
    </row>
    <row r="112" spans="2:10" x14ac:dyDescent="0.2">
      <c r="B112" s="2"/>
    </row>
    <row r="113" spans="2:10" x14ac:dyDescent="0.2">
      <c r="B113" s="2"/>
      <c r="C113" s="1" t="s">
        <v>163</v>
      </c>
      <c r="F113" s="116">
        <f>F63</f>
        <v>1.50753</v>
      </c>
      <c r="G113" s="116">
        <f>G63</f>
        <v>1.50753</v>
      </c>
      <c r="H113" s="116">
        <f>H63</f>
        <v>1.50753</v>
      </c>
      <c r="I113" s="116">
        <f>I63</f>
        <v>1.50753</v>
      </c>
      <c r="J113" s="116">
        <f>J63</f>
        <v>1.50753</v>
      </c>
    </row>
    <row r="114" spans="2:10" x14ac:dyDescent="0.2">
      <c r="B114" s="2"/>
    </row>
    <row r="115" spans="2:10" x14ac:dyDescent="0.2">
      <c r="B115" s="2"/>
      <c r="C115" s="61" t="s">
        <v>168</v>
      </c>
    </row>
    <row r="116" spans="2:10" x14ac:dyDescent="0.2">
      <c r="C116" s="23" t="str">
        <f>C102</f>
        <v>Scenario 1, NPV=0, at Y=1</v>
      </c>
      <c r="D116" s="23" t="s">
        <v>28</v>
      </c>
      <c r="E116" s="103">
        <f>-E125-E137</f>
        <v>-32.15</v>
      </c>
      <c r="F116" s="65">
        <f t="shared" ref="F116:J120" si="17">F102+F$113</f>
        <v>27.736004777592907</v>
      </c>
      <c r="G116" s="65">
        <f t="shared" si="17"/>
        <v>30.603430092024418</v>
      </c>
      <c r="H116" s="65">
        <f t="shared" si="17"/>
        <v>33.621163978466129</v>
      </c>
      <c r="I116" s="65">
        <f t="shared" si="17"/>
        <v>36.799728036958768</v>
      </c>
      <c r="J116" s="65">
        <f t="shared" si="17"/>
        <v>40.150380379545872</v>
      </c>
    </row>
    <row r="117" spans="2:10" x14ac:dyDescent="0.2">
      <c r="C117" s="23" t="str">
        <f t="shared" ref="C117:C120" si="18">C103</f>
        <v>Scenario 2, NPV=0, at Y=2</v>
      </c>
      <c r="D117" s="23" t="s">
        <v>28</v>
      </c>
      <c r="E117" s="103">
        <f>E116</f>
        <v>-32.15</v>
      </c>
      <c r="F117" s="65">
        <f t="shared" si="17"/>
        <v>13.996868265635399</v>
      </c>
      <c r="G117" s="65">
        <f t="shared" si="17"/>
        <v>15.902554024229882</v>
      </c>
      <c r="H117" s="65">
        <f t="shared" si="17"/>
        <v>17.891226585925978</v>
      </c>
      <c r="I117" s="65">
        <f t="shared" si="17"/>
        <v>19.968695026940797</v>
      </c>
      <c r="J117" s="65">
        <f t="shared" si="17"/>
        <v>22.141175058826654</v>
      </c>
    </row>
    <row r="118" spans="2:10" x14ac:dyDescent="0.2">
      <c r="C118" s="23" t="str">
        <f t="shared" si="18"/>
        <v>Scenario 3, NPV=0, at Y=3</v>
      </c>
      <c r="D118" s="23" t="s">
        <v>28</v>
      </c>
      <c r="E118" s="103">
        <f t="shared" ref="E118:E120" si="19">E117</f>
        <v>-32.15</v>
      </c>
      <c r="F118" s="65">
        <f t="shared" si="17"/>
        <v>9.4001815430889266</v>
      </c>
      <c r="G118" s="65">
        <f t="shared" si="17"/>
        <v>10.984099231105155</v>
      </c>
      <c r="H118" s="65">
        <f t="shared" si="17"/>
        <v>12.628479957282511</v>
      </c>
      <c r="I118" s="65">
        <f t="shared" si="17"/>
        <v>14.337556134292292</v>
      </c>
      <c r="J118" s="65">
        <f t="shared" si="17"/>
        <v>16.115856443692753</v>
      </c>
    </row>
    <row r="119" spans="2:10" x14ac:dyDescent="0.2">
      <c r="C119" s="23" t="str">
        <f t="shared" si="18"/>
        <v>Scenario 4, NPV=0, at Y=4</v>
      </c>
      <c r="D119" s="23" t="s">
        <v>28</v>
      </c>
      <c r="E119" s="103">
        <f t="shared" si="19"/>
        <v>-32.15</v>
      </c>
      <c r="F119" s="65">
        <f t="shared" si="17"/>
        <v>7.0928238689040359</v>
      </c>
      <c r="G119" s="65">
        <f t="shared" si="17"/>
        <v>8.5152265197273209</v>
      </c>
      <c r="H119" s="65">
        <f t="shared" si="17"/>
        <v>9.9867861561082343</v>
      </c>
      <c r="I119" s="65">
        <f t="shared" si="17"/>
        <v>11.510943767035812</v>
      </c>
      <c r="J119" s="65">
        <f t="shared" si="17"/>
        <v>13.091381210728319</v>
      </c>
    </row>
    <row r="120" spans="2:10" x14ac:dyDescent="0.2">
      <c r="C120" s="23" t="str">
        <f t="shared" si="18"/>
        <v>Scenario 5, NPV=0, at Y=5</v>
      </c>
      <c r="D120" s="23" t="s">
        <v>28</v>
      </c>
      <c r="E120" s="103">
        <f t="shared" si="19"/>
        <v>-32.15</v>
      </c>
      <c r="F120" s="65">
        <f t="shared" si="17"/>
        <v>5.7037964144912179</v>
      </c>
      <c r="G120" s="65">
        <f t="shared" si="17"/>
        <v>7.0289671435056054</v>
      </c>
      <c r="H120" s="65">
        <f t="shared" si="17"/>
        <v>8.3964886235509955</v>
      </c>
      <c r="I120" s="65">
        <f t="shared" si="17"/>
        <v>9.8093254071995695</v>
      </c>
      <c r="J120" s="65">
        <f t="shared" si="17"/>
        <v>11.270649565703536</v>
      </c>
    </row>
    <row r="124" spans="2:10" x14ac:dyDescent="0.2">
      <c r="B124" s="2" t="s">
        <v>238</v>
      </c>
    </row>
    <row r="125" spans="2:10" x14ac:dyDescent="0.2">
      <c r="C125" s="21" t="s">
        <v>232</v>
      </c>
      <c r="D125" s="21"/>
      <c r="E125" s="105">
        <f>SUM($E$9:$E$11)*'Key Assumptions'!$AA7</f>
        <v>4.6500000000000004</v>
      </c>
    </row>
    <row r="126" spans="2:10" x14ac:dyDescent="0.2">
      <c r="C126" s="21" t="s">
        <v>170</v>
      </c>
      <c r="D126" s="21"/>
      <c r="E126" s="105">
        <f>SUM($E$9:$E$11)*'Key Assumptions'!$AA8</f>
        <v>4.6500000000000004</v>
      </c>
      <c r="F126" s="65">
        <f>E126-F127</f>
        <v>3.72</v>
      </c>
      <c r="G126" s="65">
        <f t="shared" ref="G126:J126" si="20">F126-G127</f>
        <v>2.79</v>
      </c>
      <c r="H126" s="65">
        <f t="shared" si="20"/>
        <v>1.8599999999999999</v>
      </c>
      <c r="I126" s="65">
        <f t="shared" si="20"/>
        <v>0.92999999999999983</v>
      </c>
      <c r="J126" s="65">
        <f t="shared" si="20"/>
        <v>0</v>
      </c>
    </row>
    <row r="127" spans="2:10" x14ac:dyDescent="0.2">
      <c r="C127" s="23" t="s">
        <v>38</v>
      </c>
      <c r="D127" s="23"/>
      <c r="E127" s="23"/>
      <c r="F127" s="59">
        <f>IF('Key Assumptions'!$AA$9&gt;='Financial Analysis- Option 5'!F6,$E$126/'Key Assumptions'!$AA$9,0)</f>
        <v>0.93</v>
      </c>
      <c r="G127" s="59">
        <f>IF('Key Assumptions'!$AA$9&gt;='Financial Analysis- Option 5'!G6,$E$126/'Key Assumptions'!$AA$9,0)</f>
        <v>0.93</v>
      </c>
      <c r="H127" s="59">
        <f>IF('Key Assumptions'!$AA$9&gt;='Financial Analysis- Option 5'!H6,$E$126/'Key Assumptions'!$AA$9,0)</f>
        <v>0.93</v>
      </c>
      <c r="I127" s="59">
        <f>IF('Key Assumptions'!$AA$9&gt;='Financial Analysis- Option 5'!I6,$E$126/'Key Assumptions'!$AA$9,0)</f>
        <v>0.93</v>
      </c>
      <c r="J127" s="59">
        <f>IF('Key Assumptions'!$AA$9&gt;='Financial Analysis- Option 5'!J6,$E$126/'Key Assumptions'!$AA$9,0)</f>
        <v>0.93</v>
      </c>
    </row>
    <row r="128" spans="2:10" x14ac:dyDescent="0.2">
      <c r="C128" s="23" t="s">
        <v>39</v>
      </c>
      <c r="D128" s="23"/>
      <c r="E128" s="23"/>
      <c r="F128" s="65">
        <f>AVERAGE(E126,F126)*'Key Assumptions'!$N$10</f>
        <v>0.58590000000000009</v>
      </c>
      <c r="G128" s="65">
        <f>AVERAGE(F126,G126)*'Key Assumptions'!$N$10</f>
        <v>0.45570000000000005</v>
      </c>
      <c r="H128" s="65">
        <f>AVERAGE(G126,H126)*'Key Assumptions'!$N$10</f>
        <v>0.32550000000000007</v>
      </c>
      <c r="I128" s="65">
        <f>AVERAGE(H126,I126)*'Key Assumptions'!$N$10</f>
        <v>0.1953</v>
      </c>
      <c r="J128" s="65">
        <f>AVERAGE(I126,J126)*'Key Assumptions'!$N$10</f>
        <v>6.5099999999999991E-2</v>
      </c>
    </row>
    <row r="129" spans="2:10" x14ac:dyDescent="0.2">
      <c r="C129" s="74" t="s">
        <v>169</v>
      </c>
      <c r="D129" s="33"/>
      <c r="E129" s="33"/>
      <c r="F129" s="71"/>
      <c r="G129" s="71"/>
      <c r="H129" s="71"/>
      <c r="I129" s="71"/>
      <c r="J129" s="71"/>
    </row>
    <row r="130" spans="2:10" x14ac:dyDescent="0.2">
      <c r="C130" s="23" t="str">
        <f>C116</f>
        <v>Scenario 1, NPV=0, at Y=1</v>
      </c>
      <c r="D130" s="23" t="s">
        <v>28</v>
      </c>
      <c r="E130" s="23"/>
      <c r="F130" s="65">
        <f>F116-F$127</f>
        <v>26.806004777592907</v>
      </c>
      <c r="G130" s="65">
        <f t="shared" ref="F130:J134" si="21">G116-G$127</f>
        <v>29.673430092024418</v>
      </c>
      <c r="H130" s="65">
        <f t="shared" si="21"/>
        <v>32.691163978466129</v>
      </c>
      <c r="I130" s="65">
        <f t="shared" si="21"/>
        <v>35.869728036958769</v>
      </c>
      <c r="J130" s="65">
        <f t="shared" si="21"/>
        <v>39.220380379545873</v>
      </c>
    </row>
    <row r="131" spans="2:10" x14ac:dyDescent="0.2">
      <c r="B131" s="2"/>
      <c r="C131" s="23" t="str">
        <f t="shared" ref="C131:C134" si="22">C117</f>
        <v>Scenario 2, NPV=0, at Y=2</v>
      </c>
      <c r="D131" s="23" t="s">
        <v>28</v>
      </c>
      <c r="E131" s="23"/>
      <c r="F131" s="65">
        <f t="shared" si="21"/>
        <v>13.066868265635399</v>
      </c>
      <c r="G131" s="65">
        <f t="shared" si="21"/>
        <v>14.972554024229883</v>
      </c>
      <c r="H131" s="65">
        <f t="shared" si="21"/>
        <v>16.961226585925978</v>
      </c>
      <c r="I131" s="65">
        <f t="shared" si="21"/>
        <v>19.038695026940797</v>
      </c>
      <c r="J131" s="65">
        <f t="shared" si="21"/>
        <v>21.211175058826655</v>
      </c>
    </row>
    <row r="132" spans="2:10" x14ac:dyDescent="0.2">
      <c r="C132" s="23" t="str">
        <f t="shared" si="22"/>
        <v>Scenario 3, NPV=0, at Y=3</v>
      </c>
      <c r="D132" s="23" t="s">
        <v>28</v>
      </c>
      <c r="E132" s="23"/>
      <c r="F132" s="65">
        <f t="shared" si="21"/>
        <v>8.4701815430889269</v>
      </c>
      <c r="G132" s="65">
        <f t="shared" si="21"/>
        <v>10.054099231105155</v>
      </c>
      <c r="H132" s="65">
        <f t="shared" si="21"/>
        <v>11.698479957282512</v>
      </c>
      <c r="I132" s="65">
        <f t="shared" si="21"/>
        <v>13.407556134292292</v>
      </c>
      <c r="J132" s="65">
        <f t="shared" si="21"/>
        <v>15.185856443692753</v>
      </c>
    </row>
    <row r="133" spans="2:10" x14ac:dyDescent="0.2">
      <c r="C133" s="23" t="str">
        <f t="shared" si="22"/>
        <v>Scenario 4, NPV=0, at Y=4</v>
      </c>
      <c r="D133" s="23" t="s">
        <v>28</v>
      </c>
      <c r="E133" s="23"/>
      <c r="F133" s="65">
        <f t="shared" si="21"/>
        <v>6.1628238689040362</v>
      </c>
      <c r="G133" s="65">
        <f t="shared" si="21"/>
        <v>7.5852265197273212</v>
      </c>
      <c r="H133" s="65">
        <f t="shared" si="21"/>
        <v>9.0567861561082346</v>
      </c>
      <c r="I133" s="65">
        <f t="shared" si="21"/>
        <v>10.580943767035812</v>
      </c>
      <c r="J133" s="65">
        <f t="shared" si="21"/>
        <v>12.161381210728319</v>
      </c>
    </row>
    <row r="134" spans="2:10" x14ac:dyDescent="0.2">
      <c r="C134" s="23" t="str">
        <f t="shared" si="22"/>
        <v>Scenario 5, NPV=0, at Y=5</v>
      </c>
      <c r="D134" s="23" t="s">
        <v>28</v>
      </c>
      <c r="E134" s="23"/>
      <c r="F134" s="65">
        <f t="shared" si="21"/>
        <v>4.7737964144912182</v>
      </c>
      <c r="G134" s="65">
        <f t="shared" si="21"/>
        <v>6.0989671435056056</v>
      </c>
      <c r="H134" s="65">
        <f t="shared" si="21"/>
        <v>7.4664886235509957</v>
      </c>
      <c r="I134" s="65">
        <f t="shared" si="21"/>
        <v>8.8793254071995698</v>
      </c>
      <c r="J134" s="65">
        <f t="shared" si="21"/>
        <v>10.340649565703536</v>
      </c>
    </row>
    <row r="136" spans="2:10" x14ac:dyDescent="0.2">
      <c r="B136" s="2" t="s">
        <v>237</v>
      </c>
    </row>
    <row r="137" spans="2:10" x14ac:dyDescent="0.2">
      <c r="C137" s="21" t="s">
        <v>236</v>
      </c>
      <c r="D137" s="21"/>
      <c r="E137" s="134">
        <f>$E$12*'Key Assumptions'!$AH7</f>
        <v>27.5</v>
      </c>
    </row>
    <row r="138" spans="2:10" x14ac:dyDescent="0.2">
      <c r="C138" s="21" t="s">
        <v>170</v>
      </c>
      <c r="D138" s="21"/>
      <c r="E138" s="134">
        <f>$E$12*'Key Assumptions'!$AH8</f>
        <v>27.5</v>
      </c>
      <c r="F138" s="65">
        <f>E138-F139</f>
        <v>22</v>
      </c>
      <c r="G138" s="65">
        <f t="shared" ref="G138" si="23">F138-G139</f>
        <v>16.5</v>
      </c>
      <c r="H138" s="65">
        <f t="shared" ref="H138" si="24">G138-H139</f>
        <v>11</v>
      </c>
      <c r="I138" s="65">
        <f t="shared" ref="I138" si="25">H138-I139</f>
        <v>5.5</v>
      </c>
      <c r="J138" s="65">
        <f t="shared" ref="J138" si="26">I138-J139</f>
        <v>0</v>
      </c>
    </row>
    <row r="139" spans="2:10" x14ac:dyDescent="0.2">
      <c r="C139" s="23" t="s">
        <v>38</v>
      </c>
      <c r="D139" s="23"/>
      <c r="E139" s="23"/>
      <c r="F139" s="65">
        <f>IF('Key Assumptions'!$AH$9&gt;='Financial Analysis- Option 5'!F6,$E$138/'Key Assumptions'!$AH$9,0)</f>
        <v>5.5</v>
      </c>
      <c r="G139" s="65">
        <f>IF('Key Assumptions'!$AH$9&gt;='Financial Analysis- Option 5'!G6,$E$138/'Key Assumptions'!$AH$9,0)</f>
        <v>5.5</v>
      </c>
      <c r="H139" s="65">
        <f>IF('Key Assumptions'!$AH$9&gt;='Financial Analysis- Option 5'!H6,$E$138/'Key Assumptions'!$AH$9,0)</f>
        <v>5.5</v>
      </c>
      <c r="I139" s="59">
        <f>IF('Key Assumptions'!$AH$9&gt;='Financial Analysis- Option 5'!I6,$E$138/'Key Assumptions'!$AH$9,0)</f>
        <v>5.5</v>
      </c>
      <c r="J139" s="59">
        <f>IF('Key Assumptions'!$AH$9&gt;='Financial Analysis- Option 5'!J6,$E$138/'Key Assumptions'!$AH$9,0)</f>
        <v>5.5</v>
      </c>
    </row>
    <row r="140" spans="2:10" x14ac:dyDescent="0.2">
      <c r="C140" s="23" t="s">
        <v>39</v>
      </c>
      <c r="D140" s="23"/>
      <c r="E140" s="23"/>
      <c r="F140" s="65">
        <f>AVERAGE(E138,F138)*'Key Assumptions'!$AH$10</f>
        <v>3.4650000000000003</v>
      </c>
      <c r="G140" s="65">
        <f>AVERAGE(F138,G138)*'Key Assumptions'!$AH$10</f>
        <v>2.6950000000000003</v>
      </c>
      <c r="H140" s="65">
        <f>AVERAGE(G138,H138)*'Key Assumptions'!$AH$10</f>
        <v>1.9250000000000003</v>
      </c>
      <c r="I140" s="65">
        <f>AVERAGE(H138,I138)*'Key Assumptions'!$AH$10</f>
        <v>1.155</v>
      </c>
      <c r="J140" s="65">
        <f>AVERAGE(I138,J138)*'Key Assumptions'!$AH$10</f>
        <v>0.38500000000000001</v>
      </c>
    </row>
    <row r="141" spans="2:10" x14ac:dyDescent="0.2">
      <c r="C141" s="74" t="s">
        <v>169</v>
      </c>
      <c r="D141" s="33"/>
      <c r="E141" s="33"/>
      <c r="F141" s="71"/>
      <c r="G141" s="71"/>
      <c r="H141" s="71"/>
      <c r="I141" s="71"/>
      <c r="J141" s="71"/>
    </row>
    <row r="142" spans="2:10" x14ac:dyDescent="0.2">
      <c r="C142" s="23" t="s">
        <v>147</v>
      </c>
      <c r="D142" s="23" t="s">
        <v>28</v>
      </c>
      <c r="E142" s="23"/>
      <c r="F142" s="65">
        <f>F130-F$139</f>
        <v>21.306004777592907</v>
      </c>
      <c r="G142" s="65">
        <f t="shared" ref="G142:J142" si="27">G130-G$139</f>
        <v>24.173430092024418</v>
      </c>
      <c r="H142" s="65">
        <f t="shared" si="27"/>
        <v>27.191163978466129</v>
      </c>
      <c r="I142" s="65">
        <f t="shared" si="27"/>
        <v>30.369728036958769</v>
      </c>
      <c r="J142" s="65">
        <f t="shared" si="27"/>
        <v>33.720380379545873</v>
      </c>
    </row>
    <row r="143" spans="2:10" x14ac:dyDescent="0.2">
      <c r="B143" s="2"/>
      <c r="C143" s="23" t="s">
        <v>148</v>
      </c>
      <c r="D143" s="23" t="s">
        <v>28</v>
      </c>
      <c r="E143" s="23"/>
      <c r="F143" s="65">
        <f t="shared" ref="F143:J146" si="28">F131-F$139</f>
        <v>7.5668682656353994</v>
      </c>
      <c r="G143" s="65">
        <f t="shared" si="28"/>
        <v>9.4725540242298827</v>
      </c>
      <c r="H143" s="65">
        <f t="shared" si="28"/>
        <v>11.461226585925978</v>
      </c>
      <c r="I143" s="65">
        <f t="shared" si="28"/>
        <v>13.538695026940797</v>
      </c>
      <c r="J143" s="65">
        <f t="shared" si="28"/>
        <v>15.711175058826655</v>
      </c>
    </row>
    <row r="144" spans="2:10" x14ac:dyDescent="0.2">
      <c r="C144" s="23" t="s">
        <v>149</v>
      </c>
      <c r="D144" s="23" t="s">
        <v>28</v>
      </c>
      <c r="E144" s="23"/>
      <c r="F144" s="65">
        <f t="shared" si="28"/>
        <v>2.9701815430889269</v>
      </c>
      <c r="G144" s="65">
        <f t="shared" si="28"/>
        <v>4.5540992311051554</v>
      </c>
      <c r="H144" s="65">
        <f t="shared" si="28"/>
        <v>6.1984799572825118</v>
      </c>
      <c r="I144" s="65">
        <f t="shared" si="28"/>
        <v>7.9075561342922924</v>
      </c>
      <c r="J144" s="65">
        <f t="shared" si="28"/>
        <v>9.685856443692753</v>
      </c>
    </row>
    <row r="145" spans="2:10" x14ac:dyDescent="0.2">
      <c r="C145" s="23" t="s">
        <v>150</v>
      </c>
      <c r="D145" s="23" t="s">
        <v>28</v>
      </c>
      <c r="E145" s="23"/>
      <c r="F145" s="65">
        <f t="shared" si="28"/>
        <v>0.66282386890403622</v>
      </c>
      <c r="G145" s="65">
        <f t="shared" si="28"/>
        <v>2.0852265197273212</v>
      </c>
      <c r="H145" s="65">
        <f t="shared" si="28"/>
        <v>3.5567861561082346</v>
      </c>
      <c r="I145" s="65">
        <f t="shared" si="28"/>
        <v>5.0809437670358122</v>
      </c>
      <c r="J145" s="65">
        <f t="shared" si="28"/>
        <v>6.6613812107283188</v>
      </c>
    </row>
    <row r="146" spans="2:10" x14ac:dyDescent="0.2">
      <c r="C146" s="23" t="s">
        <v>151</v>
      </c>
      <c r="D146" s="23" t="s">
        <v>28</v>
      </c>
      <c r="E146" s="23"/>
      <c r="F146" s="65">
        <f t="shared" si="28"/>
        <v>-0.72620358550878183</v>
      </c>
      <c r="G146" s="65">
        <f t="shared" si="28"/>
        <v>0.59896714350560565</v>
      </c>
      <c r="H146" s="65">
        <f t="shared" si="28"/>
        <v>1.9664886235509957</v>
      </c>
      <c r="I146" s="65">
        <f t="shared" si="28"/>
        <v>3.3793254071995698</v>
      </c>
      <c r="J146" s="65">
        <f t="shared" si="28"/>
        <v>4.8406495657035364</v>
      </c>
    </row>
    <row r="149" spans="2:10" x14ac:dyDescent="0.2">
      <c r="B149" s="2" t="s">
        <v>160</v>
      </c>
    </row>
    <row r="150" spans="2:10" x14ac:dyDescent="0.2">
      <c r="C150" s="23" t="str">
        <f>C130</f>
        <v>Scenario 1, NPV=0, at Y=1</v>
      </c>
      <c r="D150" s="23" t="s">
        <v>28</v>
      </c>
      <c r="E150" s="135">
        <f>-$E$125-E137</f>
        <v>-32.15</v>
      </c>
      <c r="F150" s="118">
        <f>E150+(F142)/(1+'Key Assumptions'!$AA$23)^F$6</f>
        <v>-14.320707299085434</v>
      </c>
      <c r="G150" s="118">
        <f>F150+(G142)/(1+'Key Assumptions'!$AA$23)^G$6</f>
        <v>2.6071686778928509</v>
      </c>
      <c r="H150" s="118">
        <f>G150+(H142)/(1+'Key Assumptions'!$AA$23)^H$6</f>
        <v>18.541141903761613</v>
      </c>
      <c r="I150" s="118">
        <f>H150+(I142)/(1+'Key Assumptions'!$AA$23)^I$6</f>
        <v>33.43369926938189</v>
      </c>
      <c r="J150" s="118">
        <f>I150+(J142)/(1+'Key Assumptions'!$AA$23)^J$6</f>
        <v>47.271049668136449</v>
      </c>
    </row>
    <row r="151" spans="2:10" x14ac:dyDescent="0.2">
      <c r="C151" s="23" t="str">
        <f>C131</f>
        <v>Scenario 2, NPV=0, at Y=2</v>
      </c>
      <c r="D151" s="23" t="s">
        <v>28</v>
      </c>
      <c r="E151" s="135">
        <f>E150</f>
        <v>-32.15</v>
      </c>
      <c r="F151" s="118">
        <f>E151+(F143)/(1+'Key Assumptions'!$AA$23)^F$6</f>
        <v>-25.817892664740249</v>
      </c>
      <c r="G151" s="118">
        <f>F151+(G143)/(1+'Key Assumptions'!$AA$23)^G$6</f>
        <v>-19.18456760094243</v>
      </c>
      <c r="H151" s="118">
        <f>G151+(H143)/(1+'Key Assumptions'!$AA$23)^H$6</f>
        <v>-12.468309418674588</v>
      </c>
      <c r="I151" s="118">
        <f>H151+(I143)/(1+'Key Assumptions'!$AA$23)^I$6</f>
        <v>-5.8292709623873584</v>
      </c>
      <c r="J151" s="118">
        <f>I151+(J143)/(1+'Key Assumptions'!$AA$23)^J$6</f>
        <v>0.61789932508154877</v>
      </c>
    </row>
    <row r="152" spans="2:10" x14ac:dyDescent="0.2">
      <c r="C152" s="23" t="str">
        <f>C132</f>
        <v>Scenario 3, NPV=0, at Y=3</v>
      </c>
      <c r="D152" s="23" t="s">
        <v>28</v>
      </c>
      <c r="E152" s="135">
        <f t="shared" ref="E152:E154" si="29">E151</f>
        <v>-32.15</v>
      </c>
      <c r="F152" s="118">
        <f>E152+(F144)/(1+'Key Assumptions'!$AA$23)^F$6</f>
        <v>-29.664492432561566</v>
      </c>
      <c r="G152" s="118">
        <f>F152+(G144)/(1+'Key Assumptions'!$AA$23)^G$6</f>
        <v>-26.475403144135136</v>
      </c>
      <c r="H152" s="118">
        <f>G152+(H144)/(1+'Key Assumptions'!$AA$23)^H$6</f>
        <v>-22.843105028517829</v>
      </c>
      <c r="I152" s="118">
        <f>H152+(I144)/(1+'Key Assumptions'!$AA$23)^I$6</f>
        <v>-18.965436673750325</v>
      </c>
      <c r="J152" s="118">
        <f>I152+(J144)/(1+'Key Assumptions'!$AA$23)^J$6</f>
        <v>-14.990790242872302</v>
      </c>
    </row>
    <row r="153" spans="2:10" x14ac:dyDescent="0.2">
      <c r="C153" s="23" t="str">
        <f>C133</f>
        <v>Scenario 4, NPV=0, at Y=4</v>
      </c>
      <c r="D153" s="23" t="s">
        <v>28</v>
      </c>
      <c r="E153" s="135">
        <f t="shared" si="29"/>
        <v>-32.15</v>
      </c>
      <c r="F153" s="118">
        <f>E153+(F145)/(1+'Key Assumptions'!$AA$23)^F$6</f>
        <v>-31.59533567455729</v>
      </c>
      <c r="G153" s="118">
        <f>F153+(G145)/(1+'Key Assumptions'!$AA$23)^G$6</f>
        <v>-30.135118577708621</v>
      </c>
      <c r="H153" s="118">
        <f>G153+(H145)/(1+'Key Assumptions'!$AA$23)^H$6</f>
        <v>-28.050848282165123</v>
      </c>
      <c r="I153" s="118">
        <f>H153+(I145)/(1+'Key Assumptions'!$AA$23)^I$6</f>
        <v>-25.559280151229402</v>
      </c>
      <c r="J153" s="118">
        <f>I153+(J145)/(1+'Key Assumptions'!$AA$23)^J$6</f>
        <v>-22.82574438102084</v>
      </c>
    </row>
    <row r="154" spans="2:10" x14ac:dyDescent="0.2">
      <c r="C154" s="23" t="str">
        <f>C134</f>
        <v>Scenario 5, NPV=0, at Y=5</v>
      </c>
      <c r="D154" s="23" t="s">
        <v>28</v>
      </c>
      <c r="E154" s="135">
        <f t="shared" si="29"/>
        <v>-32.15</v>
      </c>
      <c r="F154" s="118">
        <f>E154+(F146)/(1+'Key Assumptions'!$AA$23)^F$6</f>
        <v>-32.757701745195632</v>
      </c>
      <c r="G154" s="118">
        <f>F154+(G146)/(1+'Key Assumptions'!$AA$23)^G$6</f>
        <v>-32.338264309922714</v>
      </c>
      <c r="H154" s="118">
        <f>G154+(H146)/(1+'Key Assumptions'!$AA$23)^H$6</f>
        <v>-31.185905510518179</v>
      </c>
      <c r="I154" s="118">
        <f>H154+(I146)/(1+'Key Assumptions'!$AA$23)^I$6</f>
        <v>-29.528768593698512</v>
      </c>
      <c r="J154" s="118">
        <f>I154+(J146)/(1+'Key Assumptions'!$AA$23)^J$6</f>
        <v>-27.542380437803072</v>
      </c>
    </row>
    <row r="156" spans="2:10" x14ac:dyDescent="0.2">
      <c r="F156" s="73"/>
      <c r="G156" s="73"/>
      <c r="H156" s="73"/>
      <c r="I156" s="73"/>
      <c r="J156" s="73"/>
    </row>
    <row r="157" spans="2:10" x14ac:dyDescent="0.2">
      <c r="C157" s="33"/>
      <c r="D157" s="33"/>
      <c r="F157" s="73"/>
      <c r="G157" s="73"/>
      <c r="H157" s="73"/>
      <c r="I157" s="73"/>
      <c r="J157" s="73"/>
    </row>
    <row r="158" spans="2:10" x14ac:dyDescent="0.2">
      <c r="B158" s="2" t="s">
        <v>228</v>
      </c>
    </row>
    <row r="159" spans="2:10" x14ac:dyDescent="0.2">
      <c r="B159" s="2"/>
    </row>
    <row r="160" spans="2:10" x14ac:dyDescent="0.2">
      <c r="B160" s="2"/>
      <c r="C160" s="1" t="s">
        <v>229</v>
      </c>
      <c r="F160" s="5">
        <f>F64</f>
        <v>7.7924700000000007</v>
      </c>
      <c r="G160" s="5">
        <f>G64</f>
        <v>6.2849400000000006</v>
      </c>
      <c r="H160" s="5">
        <f>H64</f>
        <v>4.7774100000000006</v>
      </c>
      <c r="I160" s="5">
        <f>I64</f>
        <v>3.2698800000000006</v>
      </c>
      <c r="J160" s="5">
        <f>J64</f>
        <v>1.7623500000000005</v>
      </c>
    </row>
    <row r="161" spans="2:12" x14ac:dyDescent="0.2">
      <c r="B161" s="2"/>
      <c r="C161" s="1" t="s">
        <v>161</v>
      </c>
      <c r="F161" s="5">
        <f>F126+F138</f>
        <v>25.72</v>
      </c>
      <c r="G161" s="5">
        <f t="shared" ref="G161:J161" si="30">G126+G138</f>
        <v>19.29</v>
      </c>
      <c r="H161" s="5">
        <f t="shared" si="30"/>
        <v>12.86</v>
      </c>
      <c r="I161" s="5">
        <f t="shared" si="30"/>
        <v>6.43</v>
      </c>
      <c r="J161" s="5">
        <f t="shared" si="30"/>
        <v>0</v>
      </c>
    </row>
    <row r="162" spans="2:12" x14ac:dyDescent="0.2">
      <c r="B162" s="2"/>
    </row>
    <row r="163" spans="2:12" x14ac:dyDescent="0.2">
      <c r="C163" s="23" t="str">
        <f t="shared" ref="C163:C167" si="31">C150</f>
        <v>Scenario 1, NPV=0, at Y=1</v>
      </c>
      <c r="D163" s="23" t="s">
        <v>28</v>
      </c>
      <c r="F163" s="102">
        <f>F150+(F$160-F$161)/(1+'Key Assumptions'!$AA$23)^F$6</f>
        <v>-29.322824453897148</v>
      </c>
      <c r="G163" s="65">
        <f>G150+(G$160-G$161)/(1+'Key Assumptions'!$N$23)^G$6</f>
        <v>-6.4998567593368879</v>
      </c>
      <c r="H163" s="65">
        <f>H150+(H$160-H$161)/(1+'Key Assumptions'!$N$23)^H$6</f>
        <v>13.804758689064837</v>
      </c>
      <c r="I163" s="65">
        <f>I150+(I$160-I$161)/(1+'Key Assumptions'!$N$23)^I$6</f>
        <v>31.884055218405503</v>
      </c>
      <c r="J163" s="65">
        <f>J150+(J$160-J$161)/(1+'Key Assumptions'!$N$23)^J$6</f>
        <v>47.99424004145849</v>
      </c>
    </row>
    <row r="164" spans="2:12" x14ac:dyDescent="0.2">
      <c r="C164" s="23" t="str">
        <f t="shared" si="31"/>
        <v>Scenario 2, NPV=0, at Y=2</v>
      </c>
      <c r="D164" s="23" t="s">
        <v>28</v>
      </c>
      <c r="F164" s="65">
        <f>F151+(F$160-F$161)/(1+'Key Assumptions'!$AA$23)^F$6</f>
        <v>-40.820009819551963</v>
      </c>
      <c r="G164" s="102">
        <f>G151+(G$160-G$161)/(1+'Key Assumptions'!$N$23)^G$6</f>
        <v>-28.291593038172167</v>
      </c>
      <c r="H164" s="65">
        <f>H151+(H$160-H$161)/(1+'Key Assumptions'!$N$23)^H$6</f>
        <v>-17.204692633371366</v>
      </c>
      <c r="I164" s="65">
        <f>I151+(I$160-I$161)/(1+'Key Assumptions'!$N$23)^I$6</f>
        <v>-7.3789150133637449</v>
      </c>
      <c r="J164" s="65">
        <f>J151+(J$160-J$161)/(1+'Key Assumptions'!$N$23)^J$6</f>
        <v>1.3410896984035925</v>
      </c>
    </row>
    <row r="165" spans="2:12" x14ac:dyDescent="0.2">
      <c r="C165" s="23" t="str">
        <f t="shared" si="31"/>
        <v>Scenario 3, NPV=0, at Y=3</v>
      </c>
      <c r="D165" s="23" t="s">
        <v>28</v>
      </c>
      <c r="F165" s="65">
        <f>F152+(F$160-F$161)/(1+'Key Assumptions'!$AA$23)^F$6</f>
        <v>-44.66660958737328</v>
      </c>
      <c r="G165" s="65">
        <f>G152+(G$160-G$161)/(1+'Key Assumptions'!$N$23)^G$6</f>
        <v>-35.582428581364873</v>
      </c>
      <c r="H165" s="102">
        <f>H152+(H$160-H$161)/(1+'Key Assumptions'!$N$23)^H$6</f>
        <v>-27.579488243214605</v>
      </c>
      <c r="I165" s="65">
        <f>I152+(I$160-I$161)/(1+'Key Assumptions'!$N$23)^I$6</f>
        <v>-20.515080724726712</v>
      </c>
      <c r="J165" s="65">
        <f>J152+(J$160-J$161)/(1+'Key Assumptions'!$N$23)^J$6</f>
        <v>-14.267599869550258</v>
      </c>
    </row>
    <row r="166" spans="2:12" x14ac:dyDescent="0.2">
      <c r="C166" s="23" t="str">
        <f t="shared" si="31"/>
        <v>Scenario 4, NPV=0, at Y=4</v>
      </c>
      <c r="D166" s="23" t="s">
        <v>28</v>
      </c>
      <c r="F166" s="65">
        <f>F153+(F$160-F$161)/(1+'Key Assumptions'!$AA$23)^F$6</f>
        <v>-46.597452829369004</v>
      </c>
      <c r="G166" s="65">
        <f>G153+(G$160-G$161)/(1+'Key Assumptions'!$N$23)^G$6</f>
        <v>-39.242144014938361</v>
      </c>
      <c r="H166" s="65">
        <f>H153+(H$160-H$161)/(1+'Key Assumptions'!$N$23)^H$6</f>
        <v>-32.787231496861899</v>
      </c>
      <c r="I166" s="102">
        <f>I153+(I$160-I$161)/(1+'Key Assumptions'!$N$23)^I$6</f>
        <v>-27.108924202205788</v>
      </c>
      <c r="J166" s="65">
        <f>J153+(J$160-J$161)/(1+'Key Assumptions'!$N$23)^J$6</f>
        <v>-22.102554007698796</v>
      </c>
    </row>
    <row r="167" spans="2:12" x14ac:dyDescent="0.2">
      <c r="C167" s="23" t="str">
        <f t="shared" si="31"/>
        <v>Scenario 5, NPV=0, at Y=5</v>
      </c>
      <c r="D167" s="23" t="s">
        <v>28</v>
      </c>
      <c r="F167" s="65">
        <f>F154+(F$160-F$161)/(1+'Key Assumptions'!$AA$23)^F$6</f>
        <v>-47.759818900007346</v>
      </c>
      <c r="G167" s="65">
        <f>G154+(G$160-G$161)/(1+'Key Assumptions'!$N$23)^G$6</f>
        <v>-41.445289747152451</v>
      </c>
      <c r="H167" s="65">
        <f>H154+(H$160-H$161)/(1+'Key Assumptions'!$N$23)^H$6</f>
        <v>-35.922288725214955</v>
      </c>
      <c r="I167" s="65">
        <f>I154+(I$160-I$161)/(1+'Key Assumptions'!$N$23)^I$6</f>
        <v>-31.078412644674899</v>
      </c>
      <c r="J167" s="102">
        <f>J154+(J$160-J$161)/(1+'Key Assumptions'!$N$23)^J$6</f>
        <v>-26.819190064481027</v>
      </c>
    </row>
    <row r="170" spans="2:12" x14ac:dyDescent="0.2">
      <c r="C170" s="33"/>
      <c r="D170" s="33"/>
      <c r="F170" s="73"/>
      <c r="G170" s="73"/>
      <c r="H170" s="73"/>
      <c r="I170" s="73"/>
      <c r="J170" s="73"/>
    </row>
    <row r="171" spans="2:12" x14ac:dyDescent="0.2">
      <c r="C171" s="33"/>
      <c r="D171" s="33"/>
      <c r="F171" s="73"/>
      <c r="G171" s="73"/>
      <c r="H171" s="73"/>
      <c r="I171" s="73"/>
      <c r="J171" s="73"/>
    </row>
    <row r="172" spans="2:12" x14ac:dyDescent="0.2">
      <c r="B172" s="2" t="s">
        <v>180</v>
      </c>
      <c r="F172" s="132" t="s">
        <v>152</v>
      </c>
      <c r="G172" s="132"/>
      <c r="H172" s="132"/>
      <c r="I172" s="132"/>
      <c r="J172" s="132"/>
    </row>
    <row r="173" spans="2:12" x14ac:dyDescent="0.2">
      <c r="F173" s="83" t="s">
        <v>153</v>
      </c>
      <c r="G173" s="83" t="s">
        <v>154</v>
      </c>
      <c r="H173" s="83" t="s">
        <v>155</v>
      </c>
      <c r="I173" s="83" t="s">
        <v>156</v>
      </c>
      <c r="J173" s="83" t="s">
        <v>157</v>
      </c>
    </row>
    <row r="174" spans="2:12" x14ac:dyDescent="0.2">
      <c r="C174" s="23" t="str">
        <f>C163</f>
        <v>Scenario 1, NPV=0, at Y=1</v>
      </c>
      <c r="D174" s="23" t="s">
        <v>28</v>
      </c>
      <c r="E174" s="23"/>
      <c r="F174" s="102">
        <f>F22</f>
        <v>52.388863471991137</v>
      </c>
      <c r="G174" s="119">
        <f>AVERAGE(F22:G22)</f>
        <v>54.222473693510835</v>
      </c>
      <c r="H174" s="119">
        <f>AVERAGE(F22:H22)</f>
        <v>56.141652392034779</v>
      </c>
      <c r="I174" s="119">
        <f>AVERAGE(F22:I22)</f>
        <v>58.150891912605701</v>
      </c>
      <c r="J174" s="119">
        <f>AVERAGE(F22:J22)</f>
        <v>60.25493617158871</v>
      </c>
      <c r="L174" s="1" t="s">
        <v>113</v>
      </c>
    </row>
    <row r="175" spans="2:12" x14ac:dyDescent="0.2">
      <c r="C175" s="23" t="str">
        <f t="shared" ref="C175:C178" si="32">C164</f>
        <v>Scenario 2, NPV=0, at Y=2</v>
      </c>
      <c r="D175" s="23" t="s">
        <v>28</v>
      </c>
      <c r="E175" s="23"/>
      <c r="F175" s="65">
        <f>F23</f>
        <v>35.214942832044251</v>
      </c>
      <c r="G175" s="97">
        <f>AVERAGE(F23:G23)</f>
        <v>36.4474658311658</v>
      </c>
      <c r="H175" s="119">
        <f>AVERAGE(F23:H23)</f>
        <v>37.73750657024636</v>
      </c>
      <c r="I175" s="119">
        <f>AVERAGE(F23:I23)</f>
        <v>39.088084730633767</v>
      </c>
      <c r="J175" s="119">
        <f>AVERAGE(F23:J23)</f>
        <v>40.502389095831361</v>
      </c>
    </row>
    <row r="176" spans="2:12" x14ac:dyDescent="0.2">
      <c r="C176" s="23" t="str">
        <f t="shared" si="32"/>
        <v>Scenario 3, NPV=0, at Y=3</v>
      </c>
      <c r="D176" s="23" t="s">
        <v>28</v>
      </c>
      <c r="E176" s="23"/>
      <c r="F176" s="65">
        <f>F24</f>
        <v>29.469084428861159</v>
      </c>
      <c r="G176" s="119">
        <f>AVERAGE(F24:G24)</f>
        <v>30.5005023838713</v>
      </c>
      <c r="H176" s="97">
        <f>AVERAGE(F24:H24)</f>
        <v>31.580053176781917</v>
      </c>
      <c r="I176" s="119">
        <f>AVERAGE(F24:I24)</f>
        <v>32.710263781582782</v>
      </c>
      <c r="J176" s="119">
        <f>AVERAGE(F24:J24)</f>
        <v>33.893802682807099</v>
      </c>
    </row>
    <row r="177" spans="2:10" x14ac:dyDescent="0.2">
      <c r="C177" s="23" t="str">
        <f t="shared" si="32"/>
        <v>Scenario 4, NPV=0, at Y=4</v>
      </c>
      <c r="D177" s="23" t="s">
        <v>28</v>
      </c>
      <c r="E177" s="23"/>
      <c r="F177" s="65">
        <f>F25</f>
        <v>26.584887336130045</v>
      </c>
      <c r="G177" s="119">
        <f>AVERAGE(F25:G25)</f>
        <v>27.515358392894598</v>
      </c>
      <c r="H177" s="119">
        <f>AVERAGE(F25:H25)</f>
        <v>28.489251432308162</v>
      </c>
      <c r="I177" s="97">
        <f>AVERAGE(F25:I25)</f>
        <v>29.508846108459814</v>
      </c>
      <c r="J177" s="119">
        <f>AVERAGE(F25:J25)</f>
        <v>30.576549736067612</v>
      </c>
    </row>
    <row r="178" spans="2:10" x14ac:dyDescent="0.2">
      <c r="C178" s="23" t="str">
        <f t="shared" si="32"/>
        <v>Scenario 5, NPV=0, at Y=5</v>
      </c>
      <c r="D178" s="23" t="s">
        <v>28</v>
      </c>
      <c r="E178" s="23"/>
      <c r="F178" s="65">
        <f>F26</f>
        <v>24.848603018114023</v>
      </c>
      <c r="G178" s="119">
        <f>AVERAGE(F26:G26)</f>
        <v>25.718304123748016</v>
      </c>
      <c r="H178" s="119">
        <f>AVERAGE(F26:H26)</f>
        <v>26.628591280978259</v>
      </c>
      <c r="I178" s="119">
        <f>AVERAGE(F26:I26)</f>
        <v>27.581595257513563</v>
      </c>
      <c r="J178" s="97">
        <f>AVERAGE(F26:J26)</f>
        <v>28.579566144054418</v>
      </c>
    </row>
    <row r="181" spans="2:10" x14ac:dyDescent="0.2">
      <c r="B181" s="2" t="s">
        <v>222</v>
      </c>
      <c r="C181" s="69"/>
      <c r="D181" s="69"/>
      <c r="E181" s="69"/>
      <c r="F181" s="69"/>
      <c r="G181" s="69"/>
      <c r="H181" s="69"/>
      <c r="I181" s="69"/>
    </row>
    <row r="182" spans="2:10" x14ac:dyDescent="0.2">
      <c r="C182" s="23" t="str">
        <f>C174</f>
        <v>Scenario 1, NPV=0, at Y=1</v>
      </c>
      <c r="D182" s="23" t="s">
        <v>213</v>
      </c>
      <c r="E182" s="78"/>
      <c r="F182" s="96">
        <f>F174/('Key Assumptions'!$AA$28*'Key Assumptions'!$AA$31)*10^5</f>
        <v>863.93244511858734</v>
      </c>
      <c r="G182" s="120">
        <f>G174/('Key Assumptions'!$AA$28*'Key Assumptions'!$AA$31)*10^5</f>
        <v>894.17008069773806</v>
      </c>
      <c r="H182" s="120">
        <f>H174/('Key Assumptions'!$AA$28*'Key Assumptions'!$AA$31)*10^5</f>
        <v>925.81880593724895</v>
      </c>
      <c r="I182" s="120">
        <f>I174/('Key Assumptions'!$AA$28*'Key Assumptions'!$AA$31)*10^5</f>
        <v>958.95270304428936</v>
      </c>
      <c r="J182" s="120">
        <f>J174/('Key Assumptions'!$AA$28*'Key Assumptions'!$AA$31)*10^5</f>
        <v>993.6500028296291</v>
      </c>
    </row>
    <row r="183" spans="2:10" x14ac:dyDescent="0.2">
      <c r="C183" s="23" t="str">
        <f t="shared" ref="C183:C186" si="33">C175</f>
        <v>Scenario 2, NPV=0, at Y=2</v>
      </c>
      <c r="D183" s="23" t="s">
        <v>213</v>
      </c>
      <c r="E183" s="78"/>
      <c r="F183" s="120">
        <f>F175/('Key Assumptions'!$AA$28*'Key Assumptions'!$AA$31)*10^5</f>
        <v>580.7213527711782</v>
      </c>
      <c r="G183" s="96">
        <f>G175/('Key Assumptions'!$AA$28*'Key Assumptions'!$AA$31)*10^5</f>
        <v>601.04660011816952</v>
      </c>
      <c r="H183" s="120">
        <f>H175/('Key Assumptions'!$AA$28*'Key Assumptions'!$AA$31)*10^5</f>
        <v>622.32035900802043</v>
      </c>
      <c r="I183" s="120">
        <f>I175/('Key Assumptions'!$AA$28*'Key Assumptions'!$AA$31)*10^5</f>
        <v>644.59242629673099</v>
      </c>
      <c r="J183" s="120">
        <f>J175/('Key Assumptions'!$AA$28*'Key Assumptions'!$AA$31)*10^5</f>
        <v>667.91538746423748</v>
      </c>
    </row>
    <row r="184" spans="2:10" x14ac:dyDescent="0.2">
      <c r="C184" s="23" t="str">
        <f t="shared" si="33"/>
        <v>Scenario 3, NPV=0, at Y=3</v>
      </c>
      <c r="D184" s="23" t="s">
        <v>213</v>
      </c>
      <c r="E184" s="78"/>
      <c r="F184" s="120">
        <f>F176/('Key Assumptions'!$AA$28*'Key Assumptions'!$AA$31)*10^5</f>
        <v>485.96775113557317</v>
      </c>
      <c r="G184" s="120">
        <f>G176/('Key Assumptions'!$AA$28*'Key Assumptions'!$AA$31)*10^5</f>
        <v>502.97662242531828</v>
      </c>
      <c r="H184" s="96">
        <f>H176/('Key Assumptions'!$AA$28*'Key Assumptions'!$AA$31)*10^5</f>
        <v>520.77924104191811</v>
      </c>
      <c r="I184" s="120">
        <f>I176/('Key Assumptions'!$AA$28*'Key Assumptions'!$AA$31)*10^5</f>
        <v>539.41727872003264</v>
      </c>
      <c r="J184" s="120">
        <f>J176/('Key Assumptions'!$AA$28*'Key Assumptions'!$AA$31)*10^5</f>
        <v>558.93474081146269</v>
      </c>
    </row>
    <row r="185" spans="2:10" x14ac:dyDescent="0.2">
      <c r="C185" s="23" t="str">
        <f t="shared" si="33"/>
        <v>Scenario 4, NPV=0, at Y=4</v>
      </c>
      <c r="D185" s="23" t="s">
        <v>213</v>
      </c>
      <c r="E185" s="78"/>
      <c r="F185" s="120">
        <f>F177/('Key Assumptions'!$AA$28*'Key Assumptions'!$AA$31)*10^5</f>
        <v>438.40513417100993</v>
      </c>
      <c r="G185" s="120">
        <f>G177/('Key Assumptions'!$AA$28*'Key Assumptions'!$AA$31)*10^5</f>
        <v>453.74931386699529</v>
      </c>
      <c r="H185" s="120">
        <f>H177/('Key Assumptions'!$AA$28*'Key Assumptions'!$AA$31)*10^5</f>
        <v>469.80955528212667</v>
      </c>
      <c r="I185" s="96">
        <f>I177/('Key Assumptions'!$AA$28*'Key Assumptions'!$AA$31)*10^5</f>
        <v>486.6234516566592</v>
      </c>
      <c r="J185" s="120">
        <f>J177/('Key Assumptions'!$AA$28*'Key Assumptions'!$AA$31)*10^5</f>
        <v>504.2307014523023</v>
      </c>
    </row>
    <row r="186" spans="2:10" x14ac:dyDescent="0.2">
      <c r="C186" s="23" t="str">
        <f t="shared" si="33"/>
        <v>Scenario 5, NPV=0, at Y=5</v>
      </c>
      <c r="D186" s="23" t="s">
        <v>213</v>
      </c>
      <c r="E186" s="78"/>
      <c r="F186" s="120">
        <f>F178/('Key Assumptions'!$AA$28*'Key Assumptions'!$AA$31)*10^5</f>
        <v>409.77247721164287</v>
      </c>
      <c r="G186" s="120">
        <f>G178/('Key Assumptions'!$AA$28*'Key Assumptions'!$AA$31)*10^5</f>
        <v>424.11451391405041</v>
      </c>
      <c r="H186" s="120">
        <f>H178/('Key Assumptions'!$AA$28*'Key Assumptions'!$AA$31)*10^5</f>
        <v>439.12584566257027</v>
      </c>
      <c r="I186" s="120">
        <f>I178/('Key Assumptions'!$AA$28*'Key Assumptions'!$AA$31)*10^5</f>
        <v>454.8416104471234</v>
      </c>
      <c r="J186" s="96">
        <f>J178/('Key Assumptions'!$AA$28*'Key Assumptions'!$AA$31)*10^5</f>
        <v>471.29891398506624</v>
      </c>
    </row>
    <row r="188" spans="2:10" x14ac:dyDescent="0.2">
      <c r="B188" s="2" t="s">
        <v>221</v>
      </c>
      <c r="C188" s="69"/>
      <c r="D188" s="69"/>
      <c r="E188" s="69"/>
      <c r="F188" s="69"/>
      <c r="G188" s="69"/>
      <c r="H188" s="69"/>
      <c r="I188" s="69"/>
    </row>
    <row r="189" spans="2:10" x14ac:dyDescent="0.2">
      <c r="C189" s="23" t="s">
        <v>147</v>
      </c>
      <c r="D189" s="23" t="s">
        <v>213</v>
      </c>
      <c r="E189" s="78"/>
      <c r="F189" s="96">
        <f>F174/('Key Assumptions'!$AA$31*('Key Assumptions'!$AA$32+'Key Assumptions'!$AA$33))*10^5</f>
        <v>656.04166840301457</v>
      </c>
      <c r="G189" s="120">
        <f>G174/('Key Assumptions'!$AA$31*('Key Assumptions'!$AA$32+'Key Assumptions'!$AA$33))*10^5</f>
        <v>679.00312679712022</v>
      </c>
      <c r="H189" s="120">
        <f>H174/('Key Assumptions'!$AA$31*('Key Assumptions'!$AA$32+'Key Assumptions'!$AA$33))*10^5</f>
        <v>703.03611991628406</v>
      </c>
      <c r="I189" s="120">
        <f>I174/('Key Assumptions'!$AA$31*('Key Assumptions'!$AA$32+'Key Assumptions'!$AA$33))*10^5</f>
        <v>728.19690333357164</v>
      </c>
      <c r="J189" s="120">
        <f>J174/('Key Assumptions'!$AA$31*('Key Assumptions'!$AA$32+'Key Assumptions'!$AA$33))*10^5</f>
        <v>754.54488293414022</v>
      </c>
    </row>
    <row r="190" spans="2:10" x14ac:dyDescent="0.2">
      <c r="C190" s="23" t="s">
        <v>148</v>
      </c>
      <c r="D190" s="23" t="s">
        <v>213</v>
      </c>
      <c r="E190" s="78"/>
      <c r="F190" s="120">
        <f>F175/('Key Assumptions'!$AA$31*('Key Assumptions'!$AA$32+'Key Assumptions'!$AA$33))*10^5</f>
        <v>440.9805503912574</v>
      </c>
      <c r="G190" s="96">
        <f>G175/('Key Assumptions'!$AA$31*('Key Assumptions'!$AA$32+'Key Assumptions'!$AA$33))*10^5</f>
        <v>456.41486965495142</v>
      </c>
      <c r="H190" s="120">
        <f>H175/('Key Assumptions'!$AA$31*('Key Assumptions'!$AA$32+'Key Assumptions'!$AA$33))*10^5</f>
        <v>472.56945715095117</v>
      </c>
      <c r="I190" s="120">
        <f>I175/('Key Assumptions'!$AA$31*('Key Assumptions'!$AA$32+'Key Assumptions'!$AA$33))*10^5</f>
        <v>489.48212696145265</v>
      </c>
      <c r="J190" s="120">
        <f>J175/('Key Assumptions'!$AA$31*('Key Assumptions'!$AA$32+'Key Assumptions'!$AA$33))*10^5</f>
        <v>507.19281075725507</v>
      </c>
    </row>
    <row r="191" spans="2:10" x14ac:dyDescent="0.2">
      <c r="C191" s="23" t="s">
        <v>149</v>
      </c>
      <c r="D191" s="23" t="s">
        <v>213</v>
      </c>
      <c r="E191" s="78"/>
      <c r="F191" s="120">
        <f>F176/('Key Assumptions'!$AA$31*('Key Assumptions'!$AA$32+'Key Assumptions'!$AA$33))*10^5</f>
        <v>369.02780541050339</v>
      </c>
      <c r="G191" s="120">
        <f>G176/('Key Assumptions'!$AA$31*('Key Assumptions'!$AA$32+'Key Assumptions'!$AA$33))*10^5</f>
        <v>381.943778599871</v>
      </c>
      <c r="H191" s="96">
        <f>H176/('Key Assumptions'!$AA$31*('Key Assumptions'!$AA$32+'Key Assumptions'!$AA$33))*10^5</f>
        <v>395.46249720474248</v>
      </c>
      <c r="I191" s="120">
        <f>I176/('Key Assumptions'!$AA$31*('Key Assumptions'!$AA$32+'Key Assumptions'!$AA$33))*10^5</f>
        <v>409.61560535943175</v>
      </c>
      <c r="J191" s="120">
        <f>J176/('Key Assumptions'!$AA$31*('Key Assumptions'!$AA$32+'Key Assumptions'!$AA$33))*10^5</f>
        <v>424.43651926977429</v>
      </c>
    </row>
    <row r="192" spans="2:10" x14ac:dyDescent="0.2">
      <c r="C192" s="23" t="s">
        <v>150</v>
      </c>
      <c r="D192" s="23" t="s">
        <v>213</v>
      </c>
      <c r="E192" s="78"/>
      <c r="F192" s="120">
        <f>F177/('Key Assumptions'!$AA$31*('Key Assumptions'!$AA$32+'Key Assumptions'!$AA$33))*10^5</f>
        <v>332.91033029615863</v>
      </c>
      <c r="G192" s="120">
        <f>G177/('Key Assumptions'!$AA$31*('Key Assumptions'!$AA$32+'Key Assumptions'!$AA$33))*10^5</f>
        <v>344.56219185652418</v>
      </c>
      <c r="H192" s="120">
        <f>H177/('Key Assumptions'!$AA$31*('Key Assumptions'!$AA$32+'Key Assumptions'!$AA$33))*10^5</f>
        <v>356.75780695637349</v>
      </c>
      <c r="I192" s="96">
        <f>I177/('Key Assumptions'!$AA$31*('Key Assumptions'!$AA$32+'Key Assumptions'!$AA$33))*10^5</f>
        <v>369.52572265652941</v>
      </c>
      <c r="J192" s="120">
        <f>J177/('Key Assumptions'!$AA$31*('Key Assumptions'!$AA$32+'Key Assumptions'!$AA$33))*10^5</f>
        <v>382.89608465322095</v>
      </c>
    </row>
    <row r="193" spans="2:10" x14ac:dyDescent="0.2">
      <c r="C193" s="23" t="s">
        <v>151</v>
      </c>
      <c r="D193" s="23" t="s">
        <v>213</v>
      </c>
      <c r="E193" s="78"/>
      <c r="F193" s="120">
        <f>F178/('Key Assumptions'!$AA$31*('Key Assumptions'!$AA$32+'Key Assumptions'!$AA$33))*10^5</f>
        <v>311.16763947748478</v>
      </c>
      <c r="G193" s="120">
        <f>G178/('Key Assumptions'!$AA$31*('Key Assumptions'!$AA$32+'Key Assumptions'!$AA$33))*10^5</f>
        <v>322.05850685919671</v>
      </c>
      <c r="H193" s="120">
        <f>H178/('Key Assumptions'!$AA$31*('Key Assumptions'!$AA$32+'Key Assumptions'!$AA$33))*10^5</f>
        <v>333.45761471872191</v>
      </c>
      <c r="I193" s="120">
        <f>I178/('Key Assumptions'!$AA$31*('Key Assumptions'!$AA$32+'Key Assumptions'!$AA$33))*10^5</f>
        <v>345.39164568114558</v>
      </c>
      <c r="J193" s="96">
        <f>J178/('Key Assumptions'!$AA$31*('Key Assumptions'!$AA$32+'Key Assumptions'!$AA$33))*10^5</f>
        <v>357.88877659855757</v>
      </c>
    </row>
    <row r="195" spans="2:10" x14ac:dyDescent="0.2">
      <c r="B195" s="2" t="s">
        <v>214</v>
      </c>
    </row>
    <row r="196" spans="2:10" x14ac:dyDescent="0.2">
      <c r="C196" s="23" t="s">
        <v>147</v>
      </c>
      <c r="D196" s="23" t="s">
        <v>20</v>
      </c>
      <c r="E196" s="78"/>
      <c r="F196" s="138">
        <f>$E$13/F142</f>
        <v>3.017928545084295</v>
      </c>
    </row>
    <row r="197" spans="2:10" x14ac:dyDescent="0.2">
      <c r="C197" s="23" t="s">
        <v>148</v>
      </c>
      <c r="D197" s="23" t="s">
        <v>20</v>
      </c>
      <c r="E197" s="78"/>
      <c r="F197" s="138">
        <f>$E$13/F143</f>
        <v>8.4975709557434254</v>
      </c>
    </row>
    <row r="198" spans="2:10" x14ac:dyDescent="0.2">
      <c r="C198" s="23" t="s">
        <v>149</v>
      </c>
      <c r="D198" s="23" t="s">
        <v>20</v>
      </c>
      <c r="E198" s="78"/>
      <c r="F198" s="138">
        <f>$E$13/F144</f>
        <v>21.648508371353401</v>
      </c>
    </row>
    <row r="199" spans="2:10" x14ac:dyDescent="0.2">
      <c r="C199" s="23" t="s">
        <v>150</v>
      </c>
      <c r="D199" s="23" t="s">
        <v>20</v>
      </c>
      <c r="E199" s="78"/>
      <c r="F199" s="138">
        <f>$E$13/F145</f>
        <v>97.009179989728707</v>
      </c>
    </row>
    <row r="200" spans="2:10" x14ac:dyDescent="0.2">
      <c r="C200" s="23" t="s">
        <v>151</v>
      </c>
      <c r="D200" s="23" t="s">
        <v>20</v>
      </c>
      <c r="E200" s="78"/>
      <c r="F200" s="138">
        <f>$E$13/F146</f>
        <v>-88.542663907327167</v>
      </c>
    </row>
  </sheetData>
  <conditionalFormatting sqref="F171:J171 F156:J157">
    <cfRule type="cellIs" dxfId="1" priority="2" operator="greaterThan">
      <formula>0</formula>
    </cfRule>
  </conditionalFormatting>
  <conditionalFormatting sqref="F170:J170">
    <cfRule type="cellIs" dxfId="0" priority="1" operator="greaterThan">
      <formula>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F121"/>
  <sheetViews>
    <sheetView topLeftCell="A11" zoomScale="78" zoomScaleNormal="78" workbookViewId="0">
      <selection activeCell="E11" sqref="E11"/>
    </sheetView>
  </sheetViews>
  <sheetFormatPr defaultColWidth="9.140625" defaultRowHeight="12.75" x14ac:dyDescent="0.2"/>
  <cols>
    <col min="1" max="1" width="3.5703125" style="1" customWidth="1"/>
    <col min="2" max="2" width="9" style="1" customWidth="1"/>
    <col min="3" max="3" width="11.7109375" style="1" customWidth="1"/>
    <col min="4" max="4" width="30.85546875" style="1" customWidth="1"/>
    <col min="5" max="5" width="109.42578125" style="1" bestFit="1" customWidth="1"/>
    <col min="6" max="6" width="21" style="1" customWidth="1"/>
    <col min="7" max="16384" width="9.140625" style="1"/>
  </cols>
  <sheetData>
    <row r="1" spans="2:6" ht="13.5" customHeight="1" x14ac:dyDescent="0.2"/>
    <row r="2" spans="2:6" ht="15" customHeight="1" x14ac:dyDescent="0.3">
      <c r="B2" s="183" t="s">
        <v>301</v>
      </c>
      <c r="C2" s="112"/>
    </row>
    <row r="3" spans="2:6" ht="15" customHeight="1" x14ac:dyDescent="0.2">
      <c r="B3" s="3"/>
      <c r="C3" s="112"/>
    </row>
    <row r="4" spans="2:6" ht="29.25" customHeight="1" x14ac:dyDescent="0.2">
      <c r="B4" s="203" t="s">
        <v>191</v>
      </c>
      <c r="C4" s="203" t="s">
        <v>307</v>
      </c>
      <c r="D4" s="203" t="s">
        <v>205</v>
      </c>
      <c r="E4" s="203" t="s">
        <v>188</v>
      </c>
      <c r="F4" s="204" t="s">
        <v>319</v>
      </c>
    </row>
    <row r="5" spans="2:6" ht="15" customHeight="1" x14ac:dyDescent="0.25">
      <c r="B5" s="205">
        <v>1</v>
      </c>
      <c r="C5" s="206" t="s">
        <v>308</v>
      </c>
      <c r="D5" s="206" t="s">
        <v>185</v>
      </c>
      <c r="E5" s="206" t="s">
        <v>206</v>
      </c>
      <c r="F5" s="206"/>
    </row>
    <row r="6" spans="2:6" ht="15" customHeight="1" x14ac:dyDescent="0.25">
      <c r="B6" s="207">
        <v>2</v>
      </c>
      <c r="C6" s="208" t="s">
        <v>308</v>
      </c>
      <c r="D6" s="208" t="s">
        <v>186</v>
      </c>
      <c r="E6" s="208" t="s">
        <v>207</v>
      </c>
      <c r="F6" s="212"/>
    </row>
    <row r="7" spans="2:6" ht="15" customHeight="1" x14ac:dyDescent="0.25">
      <c r="B7" s="207">
        <v>3</v>
      </c>
      <c r="C7" s="208" t="s">
        <v>308</v>
      </c>
      <c r="D7" s="208" t="s">
        <v>187</v>
      </c>
      <c r="E7" s="209" t="s">
        <v>208</v>
      </c>
      <c r="F7" s="207"/>
    </row>
    <row r="8" spans="2:6" ht="15" customHeight="1" x14ac:dyDescent="0.25">
      <c r="B8" s="207">
        <v>4</v>
      </c>
      <c r="C8" s="208" t="s">
        <v>309</v>
      </c>
      <c r="D8" s="208" t="s">
        <v>183</v>
      </c>
      <c r="E8" s="212" t="s">
        <v>302</v>
      </c>
      <c r="F8" s="207" t="s">
        <v>223</v>
      </c>
    </row>
    <row r="9" spans="2:6" ht="15" customHeight="1" x14ac:dyDescent="0.25">
      <c r="B9" s="207">
        <v>5</v>
      </c>
      <c r="C9" s="208" t="s">
        <v>309</v>
      </c>
      <c r="D9" s="208" t="s">
        <v>184</v>
      </c>
      <c r="E9" s="208" t="s">
        <v>316</v>
      </c>
      <c r="F9" s="207" t="s">
        <v>224</v>
      </c>
    </row>
    <row r="10" spans="2:6" ht="15" customHeight="1" x14ac:dyDescent="0.25">
      <c r="B10" s="210">
        <v>6</v>
      </c>
      <c r="C10" s="211" t="s">
        <v>309</v>
      </c>
      <c r="D10" s="211" t="s">
        <v>220</v>
      </c>
      <c r="E10" s="211" t="s">
        <v>204</v>
      </c>
      <c r="F10" s="210" t="s">
        <v>227</v>
      </c>
    </row>
    <row r="11" spans="2:6" ht="15" customHeight="1" x14ac:dyDescent="0.2"/>
    <row r="12" spans="2:6" ht="15" customHeight="1" x14ac:dyDescent="0.3">
      <c r="B12" s="216" t="s">
        <v>312</v>
      </c>
      <c r="C12" s="180"/>
      <c r="D12" s="180"/>
      <c r="E12" s="180"/>
    </row>
    <row r="13" spans="2:6" s="199" customFormat="1" ht="15" customHeight="1" x14ac:dyDescent="0.25">
      <c r="B13" s="198" t="s">
        <v>325</v>
      </c>
    </row>
    <row r="14" spans="2:6" s="199" customFormat="1" ht="15" customHeight="1" x14ac:dyDescent="0.25">
      <c r="B14" s="200" t="s">
        <v>313</v>
      </c>
    </row>
    <row r="15" spans="2:6" s="199" customFormat="1" ht="15" customHeight="1" x14ac:dyDescent="0.25">
      <c r="B15" s="199" t="s">
        <v>247</v>
      </c>
    </row>
    <row r="16" spans="2:6" s="199" customFormat="1" ht="15" customHeight="1" x14ac:dyDescent="0.25">
      <c r="B16" s="199" t="s">
        <v>314</v>
      </c>
    </row>
    <row r="17" spans="2:5" s="199" customFormat="1" ht="15" customHeight="1" x14ac:dyDescent="0.25">
      <c r="B17" s="199" t="s">
        <v>253</v>
      </c>
    </row>
    <row r="18" spans="2:5" s="199" customFormat="1" ht="15" customHeight="1" x14ac:dyDescent="0.25"/>
    <row r="19" spans="2:5" s="199" customFormat="1" ht="15" customHeight="1" x14ac:dyDescent="0.3">
      <c r="B19" s="216" t="s">
        <v>315</v>
      </c>
      <c r="C19" s="201"/>
      <c r="D19" s="201"/>
      <c r="E19" s="201"/>
    </row>
    <row r="20" spans="2:5" s="199" customFormat="1" ht="15" customHeight="1" x14ac:dyDescent="0.25">
      <c r="B20" s="199" t="s">
        <v>328</v>
      </c>
    </row>
    <row r="21" spans="2:5" s="199" customFormat="1" ht="15" customHeight="1" x14ac:dyDescent="0.25">
      <c r="B21" s="199" t="s">
        <v>326</v>
      </c>
    </row>
    <row r="22" spans="2:5" s="199" customFormat="1" ht="15" customHeight="1" x14ac:dyDescent="0.25">
      <c r="B22" s="199" t="s">
        <v>327</v>
      </c>
    </row>
    <row r="23" spans="2:5" s="199" customFormat="1" ht="15" customHeight="1" x14ac:dyDescent="0.25">
      <c r="B23" s="199" t="s">
        <v>250</v>
      </c>
    </row>
    <row r="24" spans="2:5" s="199" customFormat="1" ht="15" customHeight="1" x14ac:dyDescent="0.25">
      <c r="B24" s="202" t="s">
        <v>251</v>
      </c>
    </row>
    <row r="25" spans="2:5" s="199" customFormat="1" ht="15" customHeight="1" x14ac:dyDescent="0.25">
      <c r="B25" s="202" t="s">
        <v>318</v>
      </c>
    </row>
    <row r="26" spans="2:5" s="199" customFormat="1" ht="15" customHeight="1" x14ac:dyDescent="0.25">
      <c r="B26" s="202" t="s">
        <v>252</v>
      </c>
    </row>
    <row r="27" spans="2:5" ht="15" customHeight="1" x14ac:dyDescent="0.2"/>
    <row r="28" spans="2:5" ht="15" customHeight="1" x14ac:dyDescent="0.25">
      <c r="B28" s="181" t="s">
        <v>310</v>
      </c>
      <c r="C28" s="180"/>
      <c r="D28" s="180"/>
      <c r="E28" s="180"/>
    </row>
    <row r="29" spans="2:5" ht="15" customHeight="1" x14ac:dyDescent="0.2">
      <c r="B29" s="179"/>
      <c r="C29" s="1" t="s">
        <v>311</v>
      </c>
    </row>
    <row r="30" spans="2:5" ht="15" customHeight="1" x14ac:dyDescent="0.2">
      <c r="B30" s="111"/>
      <c r="C30" s="1" t="s">
        <v>209</v>
      </c>
    </row>
    <row r="31" spans="2:5" ht="15" customHeight="1" x14ac:dyDescent="0.2">
      <c r="B31" s="150"/>
      <c r="C31" s="1" t="s">
        <v>249</v>
      </c>
    </row>
    <row r="32" spans="2:5" ht="15" customHeight="1" x14ac:dyDescent="0.2">
      <c r="B32" s="142"/>
      <c r="C32" s="1" t="s">
        <v>248</v>
      </c>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sheetData>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A1"/>
  <sheetViews>
    <sheetView workbookViewId="0">
      <selection activeCell="N19" sqref="N19"/>
    </sheetView>
  </sheetViews>
  <sheetFormatPr defaultColWidth="9.140625" defaultRowHeight="15" x14ac:dyDescent="0.25"/>
  <cols>
    <col min="1" max="16384" width="9.140625" style="184"/>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H244"/>
  <sheetViews>
    <sheetView topLeftCell="E37" zoomScale="85" zoomScaleNormal="85" workbookViewId="0">
      <selection activeCell="N40" sqref="N40"/>
    </sheetView>
  </sheetViews>
  <sheetFormatPr defaultColWidth="9.140625" defaultRowHeight="12.75" x14ac:dyDescent="0.2"/>
  <cols>
    <col min="1" max="1" width="4.42578125" style="33" customWidth="1"/>
    <col min="2" max="2" width="13.7109375" style="33" customWidth="1"/>
    <col min="3" max="3" width="10.140625" style="33" customWidth="1"/>
    <col min="4" max="4" width="46" style="33" customWidth="1"/>
    <col min="5" max="8" width="14.28515625" style="33" customWidth="1"/>
    <col min="9" max="9" width="12.5703125" style="186" customWidth="1"/>
    <col min="10" max="10" width="13.85546875" style="33" bestFit="1" customWidth="1"/>
    <col min="11" max="11" width="14.28515625" style="33" customWidth="1"/>
    <col min="12" max="12" width="21.85546875" style="33" bestFit="1" customWidth="1"/>
    <col min="13" max="13" width="32.42578125" style="33" bestFit="1" customWidth="1"/>
    <col min="14" max="14" width="13.85546875" style="33" bestFit="1" customWidth="1"/>
    <col min="15" max="15" width="21.85546875" style="33" bestFit="1" customWidth="1"/>
    <col min="16" max="16" width="13.85546875" style="33" bestFit="1" customWidth="1"/>
    <col min="17" max="17" width="14.28515625" style="33" customWidth="1"/>
    <col min="18" max="18" width="14.28515625" style="186" customWidth="1"/>
    <col min="19" max="20" width="14.28515625" style="33" customWidth="1"/>
    <col min="21" max="21" width="32.42578125" style="186" bestFit="1" customWidth="1"/>
    <col min="22" max="22" width="13.85546875" style="33" bestFit="1" customWidth="1"/>
    <col min="23" max="24" width="9.140625" style="33"/>
    <col min="25" max="25" width="25.7109375" style="33" bestFit="1" customWidth="1"/>
    <col min="26" max="26" width="34" style="33" bestFit="1" customWidth="1"/>
    <col min="27" max="27" width="14.42578125" style="33" bestFit="1" customWidth="1"/>
    <col min="28" max="32" width="9.140625" style="33"/>
    <col min="33" max="33" width="34" style="33" bestFit="1" customWidth="1"/>
    <col min="34" max="34" width="7.7109375" style="186" customWidth="1"/>
    <col min="35" max="16384" width="9.140625" style="33"/>
  </cols>
  <sheetData>
    <row r="1" spans="2:34" ht="22.5" customHeight="1" x14ac:dyDescent="0.2"/>
    <row r="2" spans="2:34" ht="22.5" customHeight="1" x14ac:dyDescent="0.35">
      <c r="B2" s="213" t="s">
        <v>322</v>
      </c>
    </row>
    <row r="3" spans="2:34" ht="22.5" customHeight="1" x14ac:dyDescent="0.2">
      <c r="B3" s="89" t="s">
        <v>320</v>
      </c>
    </row>
    <row r="4" spans="2:34" ht="22.5" customHeight="1" x14ac:dyDescent="0.25">
      <c r="B4" s="181" t="s">
        <v>190</v>
      </c>
      <c r="C4" s="185"/>
      <c r="D4" s="181"/>
      <c r="E4" s="180"/>
      <c r="F4" s="180"/>
      <c r="G4" s="180"/>
      <c r="H4" s="180"/>
      <c r="I4" s="173"/>
      <c r="K4" s="181" t="s">
        <v>303</v>
      </c>
      <c r="L4" s="180"/>
      <c r="M4" s="180"/>
      <c r="N4" s="180"/>
      <c r="O4" s="180"/>
      <c r="P4" s="180"/>
      <c r="Q4" s="180"/>
      <c r="R4" s="173"/>
      <c r="T4" s="181" t="s">
        <v>199</v>
      </c>
      <c r="U4" s="173"/>
      <c r="X4" s="181" t="s">
        <v>304</v>
      </c>
      <c r="Y4" s="180"/>
      <c r="Z4" s="180"/>
      <c r="AA4" s="180"/>
      <c r="AB4" s="180"/>
      <c r="AC4" s="180"/>
      <c r="AD4" s="180"/>
      <c r="AE4" s="180"/>
      <c r="AF4" s="180"/>
      <c r="AG4" s="180"/>
      <c r="AH4" s="173"/>
    </row>
    <row r="5" spans="2:34" ht="22.5" customHeight="1" x14ac:dyDescent="0.2"/>
    <row r="6" spans="2:34" ht="22.5" customHeight="1" x14ac:dyDescent="0.2">
      <c r="C6" s="33" t="s">
        <v>173</v>
      </c>
      <c r="D6" s="94"/>
      <c r="L6" s="33" t="s">
        <v>173</v>
      </c>
      <c r="M6" s="94"/>
      <c r="S6" s="86"/>
      <c r="U6" s="190"/>
      <c r="Y6" s="33" t="s">
        <v>211</v>
      </c>
      <c r="Z6" s="94"/>
      <c r="AF6" s="33" t="s">
        <v>212</v>
      </c>
      <c r="AG6" s="94"/>
    </row>
    <row r="7" spans="2:34" ht="22.5" customHeight="1" x14ac:dyDescent="0.2">
      <c r="D7" s="22" t="s">
        <v>104</v>
      </c>
      <c r="E7" s="145">
        <v>0.5</v>
      </c>
      <c r="I7" s="187"/>
      <c r="J7" s="86"/>
      <c r="M7" s="22" t="s">
        <v>104</v>
      </c>
      <c r="N7" s="24">
        <f>E7</f>
        <v>0.5</v>
      </c>
      <c r="R7" s="187"/>
      <c r="S7" s="86"/>
      <c r="U7" s="191">
        <v>0.15</v>
      </c>
      <c r="Z7" s="22" t="s">
        <v>104</v>
      </c>
      <c r="AA7" s="24">
        <f>N7</f>
        <v>0.5</v>
      </c>
      <c r="AG7" s="22" t="s">
        <v>104</v>
      </c>
      <c r="AH7" s="191">
        <v>0.5</v>
      </c>
    </row>
    <row r="8" spans="2:34" ht="22.5" customHeight="1" x14ac:dyDescent="0.2">
      <c r="D8" s="25" t="s">
        <v>110</v>
      </c>
      <c r="E8" s="24">
        <f>1-E7</f>
        <v>0.5</v>
      </c>
      <c r="J8" s="88"/>
      <c r="M8" s="25" t="s">
        <v>110</v>
      </c>
      <c r="N8" s="24">
        <f>E8</f>
        <v>0.5</v>
      </c>
      <c r="S8" s="88"/>
      <c r="U8" s="191">
        <v>0.2</v>
      </c>
      <c r="Z8" s="25" t="s">
        <v>110</v>
      </c>
      <c r="AA8" s="24">
        <f>N8</f>
        <v>0.5</v>
      </c>
      <c r="AG8" s="25" t="s">
        <v>110</v>
      </c>
      <c r="AH8" s="188">
        <f>1-50%</f>
        <v>0.5</v>
      </c>
    </row>
    <row r="9" spans="2:34" ht="22.5" customHeight="1" x14ac:dyDescent="0.2">
      <c r="D9" s="25" t="s">
        <v>111</v>
      </c>
      <c r="E9" s="146">
        <v>5</v>
      </c>
      <c r="J9" s="88"/>
      <c r="M9" s="25" t="s">
        <v>111</v>
      </c>
      <c r="N9" s="23">
        <f>E9</f>
        <v>5</v>
      </c>
      <c r="S9" s="88"/>
      <c r="U9" s="191">
        <v>0.25</v>
      </c>
      <c r="Z9" s="25" t="s">
        <v>111</v>
      </c>
      <c r="AA9" s="23">
        <f>N9</f>
        <v>5</v>
      </c>
      <c r="AG9" s="25" t="s">
        <v>111</v>
      </c>
      <c r="AH9" s="192">
        <v>5</v>
      </c>
    </row>
    <row r="10" spans="2:34" ht="22.5" customHeight="1" x14ac:dyDescent="0.2">
      <c r="D10" s="23" t="s">
        <v>105</v>
      </c>
      <c r="E10" s="145">
        <v>0.14000000000000001</v>
      </c>
      <c r="J10" s="88"/>
      <c r="M10" s="23" t="s">
        <v>105</v>
      </c>
      <c r="N10" s="24">
        <f>E10</f>
        <v>0.14000000000000001</v>
      </c>
      <c r="S10" s="88"/>
      <c r="Z10" s="23" t="s">
        <v>105</v>
      </c>
      <c r="AA10" s="137">
        <f>N10</f>
        <v>0.14000000000000001</v>
      </c>
      <c r="AG10" s="23" t="s">
        <v>105</v>
      </c>
      <c r="AH10" s="188">
        <f>AA10</f>
        <v>0.14000000000000001</v>
      </c>
    </row>
    <row r="11" spans="2:34" ht="22.5" customHeight="1" x14ac:dyDescent="0.2">
      <c r="J11" s="88"/>
      <c r="S11" s="88"/>
    </row>
    <row r="12" spans="2:34" ht="22.5" customHeight="1" x14ac:dyDescent="0.2">
      <c r="C12" s="33" t="s">
        <v>174</v>
      </c>
      <c r="E12" s="87"/>
      <c r="J12" s="88"/>
      <c r="L12" s="33" t="s">
        <v>174</v>
      </c>
      <c r="N12" s="87"/>
      <c r="S12" s="88"/>
      <c r="Y12" s="33" t="s">
        <v>174</v>
      </c>
      <c r="AA12" s="87"/>
    </row>
    <row r="13" spans="2:34" ht="22.5" customHeight="1" x14ac:dyDescent="0.2">
      <c r="D13" s="33" t="s">
        <v>178</v>
      </c>
      <c r="E13" s="90">
        <f>'Financial Analysis- Option 1'!E57</f>
        <v>9.3000000000000007</v>
      </c>
      <c r="J13" s="88"/>
      <c r="M13" s="33" t="s">
        <v>178</v>
      </c>
      <c r="N13" s="90">
        <f>'Financial Analysis- Option 2'!E58</f>
        <v>9.3000000000000007</v>
      </c>
      <c r="S13" s="88"/>
      <c r="Z13" s="33" t="s">
        <v>178</v>
      </c>
      <c r="AA13" s="90">
        <f>E13</f>
        <v>9.3000000000000007</v>
      </c>
    </row>
    <row r="14" spans="2:34" ht="22.5" customHeight="1" x14ac:dyDescent="0.2">
      <c r="D14" s="23"/>
      <c r="E14" s="24" t="s">
        <v>117</v>
      </c>
      <c r="F14" s="23" t="s">
        <v>118</v>
      </c>
      <c r="G14" s="24" t="s">
        <v>119</v>
      </c>
      <c r="H14" s="23" t="s">
        <v>120</v>
      </c>
      <c r="I14" s="188" t="s">
        <v>121</v>
      </c>
      <c r="J14" s="88"/>
      <c r="M14" s="23"/>
      <c r="N14" s="24" t="s">
        <v>117</v>
      </c>
      <c r="O14" s="23" t="s">
        <v>118</v>
      </c>
      <c r="P14" s="24" t="s">
        <v>119</v>
      </c>
      <c r="Q14" s="23" t="s">
        <v>120</v>
      </c>
      <c r="R14" s="188" t="s">
        <v>121</v>
      </c>
      <c r="S14" s="88"/>
      <c r="Z14" s="23"/>
      <c r="AA14" s="24" t="s">
        <v>117</v>
      </c>
      <c r="AB14" s="23" t="s">
        <v>118</v>
      </c>
      <c r="AC14" s="24" t="s">
        <v>119</v>
      </c>
      <c r="AD14" s="23" t="s">
        <v>120</v>
      </c>
      <c r="AE14" s="24" t="s">
        <v>121</v>
      </c>
    </row>
    <row r="15" spans="2:34" ht="22.5" customHeight="1" x14ac:dyDescent="0.2">
      <c r="D15" s="23" t="s">
        <v>159</v>
      </c>
      <c r="E15" s="145">
        <v>0.16209999999999999</v>
      </c>
      <c r="F15" s="24">
        <f>E15</f>
        <v>0.16209999999999999</v>
      </c>
      <c r="G15" s="24">
        <f>F15</f>
        <v>0.16209999999999999</v>
      </c>
      <c r="H15" s="24">
        <f>G15</f>
        <v>0.16209999999999999</v>
      </c>
      <c r="I15" s="188">
        <f>H15</f>
        <v>0.16209999999999999</v>
      </c>
      <c r="M15" s="23" t="s">
        <v>159</v>
      </c>
      <c r="N15" s="24">
        <f>E15</f>
        <v>0.16209999999999999</v>
      </c>
      <c r="O15" s="24">
        <f>F15</f>
        <v>0.16209999999999999</v>
      </c>
      <c r="P15" s="24">
        <f>G15</f>
        <v>0.16209999999999999</v>
      </c>
      <c r="Q15" s="24">
        <f>H15</f>
        <v>0.16209999999999999</v>
      </c>
      <c r="R15" s="188">
        <f>I15</f>
        <v>0.16209999999999999</v>
      </c>
      <c r="Z15" s="23" t="s">
        <v>159</v>
      </c>
      <c r="AA15" s="24">
        <f>E15</f>
        <v>0.16209999999999999</v>
      </c>
      <c r="AB15" s="24">
        <f>F15</f>
        <v>0.16209999999999999</v>
      </c>
      <c r="AC15" s="24">
        <f>G15</f>
        <v>0.16209999999999999</v>
      </c>
      <c r="AD15" s="24">
        <f>H15</f>
        <v>0.16209999999999999</v>
      </c>
      <c r="AE15" s="24">
        <f>I15</f>
        <v>0.16209999999999999</v>
      </c>
    </row>
    <row r="16" spans="2:34" ht="22.5" customHeight="1" x14ac:dyDescent="0.2">
      <c r="D16" s="33" t="s">
        <v>163</v>
      </c>
      <c r="E16" s="123">
        <f>E15*$E$13</f>
        <v>1.50753</v>
      </c>
      <c r="F16" s="123">
        <f>F15*$E$13</f>
        <v>1.50753</v>
      </c>
      <c r="G16" s="123">
        <f>G15*$E$13</f>
        <v>1.50753</v>
      </c>
      <c r="H16" s="123">
        <f>H15*$E$13</f>
        <v>1.50753</v>
      </c>
      <c r="I16" s="189">
        <f>I15*$E$13</f>
        <v>1.50753</v>
      </c>
      <c r="M16" s="33" t="s">
        <v>163</v>
      </c>
      <c r="N16" s="123">
        <f>N15*$E$13</f>
        <v>1.50753</v>
      </c>
      <c r="O16" s="123">
        <f>O15*$E$13</f>
        <v>1.50753</v>
      </c>
      <c r="P16" s="123">
        <f>P15*$E$13</f>
        <v>1.50753</v>
      </c>
      <c r="Q16" s="123">
        <f>Q15*$E$13</f>
        <v>1.50753</v>
      </c>
      <c r="R16" s="189">
        <f>R15*$E$13</f>
        <v>1.50753</v>
      </c>
      <c r="Z16" s="133" t="s">
        <v>163</v>
      </c>
      <c r="AA16" s="123">
        <f>AA15*$E$13</f>
        <v>1.50753</v>
      </c>
      <c r="AB16" s="123">
        <f>AB15*$E$13</f>
        <v>1.50753</v>
      </c>
      <c r="AC16" s="123">
        <f>AC15*$E$13</f>
        <v>1.50753</v>
      </c>
      <c r="AD16" s="123">
        <f>AD15*$E$13</f>
        <v>1.50753</v>
      </c>
      <c r="AE16" s="123">
        <f>AE15*$E$13</f>
        <v>1.50753</v>
      </c>
    </row>
    <row r="17" spans="3:31" ht="22.5" customHeight="1" x14ac:dyDescent="0.2">
      <c r="D17" s="33" t="s">
        <v>179</v>
      </c>
      <c r="E17" s="123">
        <f>E13-E16</f>
        <v>7.7924700000000007</v>
      </c>
      <c r="F17" s="123">
        <f>E17-F16</f>
        <v>6.2849400000000006</v>
      </c>
      <c r="G17" s="123">
        <f t="shared" ref="G17:I17" si="0">F17-G16</f>
        <v>4.7774100000000006</v>
      </c>
      <c r="H17" s="123">
        <f t="shared" si="0"/>
        <v>3.2698800000000006</v>
      </c>
      <c r="I17" s="189">
        <f t="shared" si="0"/>
        <v>1.7623500000000005</v>
      </c>
      <c r="M17" s="33" t="s">
        <v>179</v>
      </c>
      <c r="N17" s="123">
        <f>N13-N16</f>
        <v>7.7924700000000007</v>
      </c>
      <c r="O17" s="123">
        <f>N17-O16</f>
        <v>6.2849400000000006</v>
      </c>
      <c r="P17" s="123">
        <f t="shared" ref="P17" si="1">O17-P16</f>
        <v>4.7774100000000006</v>
      </c>
      <c r="Q17" s="123">
        <f t="shared" ref="Q17" si="2">P17-Q16</f>
        <v>3.2698800000000006</v>
      </c>
      <c r="R17" s="189">
        <f t="shared" ref="R17" si="3">Q17-R16</f>
        <v>1.7623500000000005</v>
      </c>
      <c r="Z17" s="133" t="s">
        <v>179</v>
      </c>
      <c r="AA17" s="123">
        <f>AA13-AA16</f>
        <v>7.7924700000000007</v>
      </c>
      <c r="AB17" s="123">
        <f>AA17-AB16</f>
        <v>6.2849400000000006</v>
      </c>
      <c r="AC17" s="123">
        <f t="shared" ref="AC17:AE17" si="4">AB17-AC16</f>
        <v>4.7774100000000006</v>
      </c>
      <c r="AD17" s="123">
        <f t="shared" si="4"/>
        <v>3.2698800000000006</v>
      </c>
      <c r="AE17" s="123">
        <f t="shared" si="4"/>
        <v>1.7623500000000005</v>
      </c>
    </row>
    <row r="18" spans="3:31" ht="22.5" customHeight="1" x14ac:dyDescent="0.2">
      <c r="E18" s="39"/>
      <c r="F18" s="89"/>
      <c r="N18" s="39"/>
      <c r="O18" s="89"/>
      <c r="AA18" s="39"/>
      <c r="AB18" s="89"/>
    </row>
    <row r="19" spans="3:31" ht="22.5" customHeight="1" x14ac:dyDescent="0.2">
      <c r="C19" s="33" t="s">
        <v>175</v>
      </c>
      <c r="J19" s="87"/>
      <c r="L19" s="33" t="s">
        <v>175</v>
      </c>
      <c r="S19" s="87"/>
      <c r="Y19" s="33" t="s">
        <v>175</v>
      </c>
    </row>
    <row r="20" spans="3:31" ht="22.5" customHeight="1" x14ac:dyDescent="0.2">
      <c r="D20" s="25" t="s">
        <v>41</v>
      </c>
      <c r="E20" s="76" t="s">
        <v>109</v>
      </c>
      <c r="F20" s="76" t="s">
        <v>106</v>
      </c>
      <c r="J20" s="87"/>
      <c r="M20" s="25" t="s">
        <v>41</v>
      </c>
      <c r="N20" s="76" t="s">
        <v>109</v>
      </c>
      <c r="O20" s="76" t="s">
        <v>106</v>
      </c>
      <c r="S20" s="87"/>
      <c r="Z20" s="25" t="s">
        <v>41</v>
      </c>
      <c r="AA20" s="76" t="s">
        <v>109</v>
      </c>
      <c r="AB20" s="76" t="s">
        <v>106</v>
      </c>
    </row>
    <row r="21" spans="3:31" ht="22.5" customHeight="1" x14ac:dyDescent="0.2">
      <c r="D21" s="25" t="s">
        <v>107</v>
      </c>
      <c r="E21" s="145">
        <v>0.25</v>
      </c>
      <c r="F21" s="24">
        <f>E7</f>
        <v>0.5</v>
      </c>
      <c r="J21" s="90"/>
      <c r="M21" s="25" t="s">
        <v>107</v>
      </c>
      <c r="N21" s="77">
        <f>E21</f>
        <v>0.25</v>
      </c>
      <c r="O21" s="77">
        <f>N7</f>
        <v>0.5</v>
      </c>
      <c r="S21" s="90"/>
      <c r="Z21" s="25" t="s">
        <v>107</v>
      </c>
      <c r="AA21" s="77">
        <f>N21</f>
        <v>0.25</v>
      </c>
      <c r="AB21" s="77">
        <f>AA7</f>
        <v>0.5</v>
      </c>
    </row>
    <row r="22" spans="3:31" ht="22.5" customHeight="1" x14ac:dyDescent="0.2">
      <c r="D22" s="25" t="s">
        <v>108</v>
      </c>
      <c r="E22" s="24">
        <f>E10</f>
        <v>0.14000000000000001</v>
      </c>
      <c r="F22" s="24">
        <f>E8</f>
        <v>0.5</v>
      </c>
      <c r="J22" s="90"/>
      <c r="M22" s="25" t="s">
        <v>108</v>
      </c>
      <c r="N22" s="77">
        <f>E22</f>
        <v>0.14000000000000001</v>
      </c>
      <c r="O22" s="77">
        <f>N8</f>
        <v>0.5</v>
      </c>
      <c r="S22" s="90"/>
      <c r="Z22" s="25" t="s">
        <v>108</v>
      </c>
      <c r="AA22" s="77">
        <f>N22</f>
        <v>0.14000000000000001</v>
      </c>
      <c r="AB22" s="77">
        <f>AA8</f>
        <v>0.5</v>
      </c>
    </row>
    <row r="23" spans="3:31" ht="22.5" customHeight="1" x14ac:dyDescent="0.2">
      <c r="D23" s="26" t="s">
        <v>42</v>
      </c>
      <c r="E23" s="77">
        <f>(E21*F21)+(E22*F22)</f>
        <v>0.19500000000000001</v>
      </c>
      <c r="F23" s="22"/>
      <c r="M23" s="26" t="s">
        <v>42</v>
      </c>
      <c r="N23" s="77">
        <f>E23</f>
        <v>0.19500000000000001</v>
      </c>
      <c r="O23" s="22"/>
      <c r="Z23" s="26" t="s">
        <v>42</v>
      </c>
      <c r="AA23" s="77">
        <f>N23</f>
        <v>0.19500000000000001</v>
      </c>
      <c r="AB23" s="22"/>
    </row>
    <row r="24" spans="3:31" ht="22.5" customHeight="1" x14ac:dyDescent="0.2">
      <c r="E24" s="91"/>
      <c r="N24" s="91"/>
      <c r="AA24" s="91"/>
    </row>
    <row r="25" spans="3:31" ht="22.5" customHeight="1" x14ac:dyDescent="0.2"/>
    <row r="26" spans="3:31" ht="22.5" customHeight="1" x14ac:dyDescent="0.2">
      <c r="C26" s="33" t="s">
        <v>176</v>
      </c>
      <c r="D26" s="92"/>
      <c r="E26" s="87"/>
      <c r="H26" s="93"/>
      <c r="L26" s="33" t="s">
        <v>176</v>
      </c>
      <c r="M26" s="98"/>
      <c r="N26" s="99"/>
      <c r="Y26" s="33" t="s">
        <v>176</v>
      </c>
      <c r="Z26" s="98"/>
      <c r="AA26" s="99"/>
      <c r="AD26" s="93"/>
    </row>
    <row r="27" spans="3:31" ht="22.5" customHeight="1" x14ac:dyDescent="0.2">
      <c r="D27" s="23" t="s">
        <v>19</v>
      </c>
      <c r="E27" s="147">
        <v>1760</v>
      </c>
      <c r="H27" s="93"/>
      <c r="M27" s="23" t="s">
        <v>19</v>
      </c>
      <c r="N27" s="79">
        <f t="shared" ref="N27:N35" si="5">E27</f>
        <v>1760</v>
      </c>
      <c r="Z27" s="23" t="s">
        <v>19</v>
      </c>
      <c r="AA27" s="58">
        <f>E27</f>
        <v>1760</v>
      </c>
    </row>
    <row r="28" spans="3:31" ht="22.5" customHeight="1" x14ac:dyDescent="0.2">
      <c r="D28" s="23" t="s">
        <v>46</v>
      </c>
      <c r="E28" s="148">
        <v>7580</v>
      </c>
      <c r="H28" s="93"/>
      <c r="M28" s="23" t="s">
        <v>46</v>
      </c>
      <c r="N28" s="58">
        <f t="shared" si="5"/>
        <v>7580</v>
      </c>
      <c r="Z28" s="23" t="s">
        <v>46</v>
      </c>
      <c r="AA28" s="58">
        <f>E28</f>
        <v>7580</v>
      </c>
    </row>
    <row r="29" spans="3:31" ht="22.5" customHeight="1" x14ac:dyDescent="0.2">
      <c r="D29" s="23" t="s">
        <v>145</v>
      </c>
      <c r="E29" s="145">
        <v>7.0000000000000007E-2</v>
      </c>
      <c r="H29" s="93"/>
      <c r="M29" s="23" t="s">
        <v>145</v>
      </c>
      <c r="N29" s="24">
        <f t="shared" si="5"/>
        <v>7.0000000000000007E-2</v>
      </c>
      <c r="Z29" s="23" t="s">
        <v>145</v>
      </c>
      <c r="AA29" s="24">
        <f>E29</f>
        <v>7.0000000000000007E-2</v>
      </c>
    </row>
    <row r="30" spans="3:31" ht="22.5" customHeight="1" x14ac:dyDescent="0.2">
      <c r="D30" s="95" t="s">
        <v>158</v>
      </c>
      <c r="E30" s="145">
        <v>0.2</v>
      </c>
      <c r="H30" s="93"/>
      <c r="M30" s="95" t="s">
        <v>158</v>
      </c>
      <c r="N30" s="24">
        <f t="shared" si="5"/>
        <v>0.2</v>
      </c>
      <c r="Z30" s="95" t="s">
        <v>158</v>
      </c>
      <c r="AA30" s="24">
        <f>E30</f>
        <v>0.2</v>
      </c>
    </row>
    <row r="31" spans="3:31" ht="22.5" customHeight="1" x14ac:dyDescent="0.2">
      <c r="D31" s="95" t="s">
        <v>215</v>
      </c>
      <c r="E31" s="145">
        <v>0.8</v>
      </c>
      <c r="H31" s="93"/>
      <c r="M31" s="95" t="s">
        <v>215</v>
      </c>
      <c r="N31" s="24">
        <f t="shared" si="5"/>
        <v>0.8</v>
      </c>
      <c r="Z31" s="95" t="s">
        <v>215</v>
      </c>
      <c r="AA31" s="24">
        <f>E31</f>
        <v>0.8</v>
      </c>
    </row>
    <row r="32" spans="3:31" ht="22.5" customHeight="1" x14ac:dyDescent="0.2">
      <c r="C32" s="93"/>
      <c r="D32" s="95" t="s">
        <v>216</v>
      </c>
      <c r="E32" s="148">
        <v>8267</v>
      </c>
      <c r="F32" s="92"/>
      <c r="G32" s="92"/>
      <c r="M32" s="95" t="s">
        <v>216</v>
      </c>
      <c r="N32" s="58">
        <f t="shared" si="5"/>
        <v>8267</v>
      </c>
      <c r="P32" s="92"/>
      <c r="Z32" s="95" t="s">
        <v>216</v>
      </c>
      <c r="AA32" s="58">
        <f>N32</f>
        <v>8267</v>
      </c>
    </row>
    <row r="33" spans="3:27" ht="22.5" customHeight="1" x14ac:dyDescent="0.2">
      <c r="C33" s="93"/>
      <c r="D33" s="95" t="s">
        <v>217</v>
      </c>
      <c r="E33" s="148">
        <v>1715</v>
      </c>
      <c r="M33" s="95" t="s">
        <v>217</v>
      </c>
      <c r="N33" s="58">
        <f t="shared" si="5"/>
        <v>1715</v>
      </c>
      <c r="Z33" s="95" t="s">
        <v>217</v>
      </c>
      <c r="AA33" s="58">
        <f>N33</f>
        <v>1715</v>
      </c>
    </row>
    <row r="34" spans="3:27" ht="22.5" customHeight="1" x14ac:dyDescent="0.2">
      <c r="D34" s="95" t="s">
        <v>218</v>
      </c>
      <c r="E34" s="58">
        <v>1</v>
      </c>
      <c r="H34" s="93"/>
      <c r="M34" s="95" t="s">
        <v>218</v>
      </c>
      <c r="N34" s="58">
        <f t="shared" si="5"/>
        <v>1</v>
      </c>
      <c r="Q34" s="93"/>
      <c r="Z34" s="95" t="s">
        <v>218</v>
      </c>
      <c r="AA34" s="58">
        <f>N34</f>
        <v>1</v>
      </c>
    </row>
    <row r="35" spans="3:27" ht="22.5" customHeight="1" x14ac:dyDescent="0.2">
      <c r="D35" s="95" t="s">
        <v>219</v>
      </c>
      <c r="E35" s="149">
        <v>1.2</v>
      </c>
      <c r="M35" s="95" t="s">
        <v>219</v>
      </c>
      <c r="N35" s="139">
        <f t="shared" si="5"/>
        <v>1.2</v>
      </c>
      <c r="Q35" s="93"/>
      <c r="Z35" s="95" t="s">
        <v>219</v>
      </c>
      <c r="AA35" s="139">
        <f>N35</f>
        <v>1.2</v>
      </c>
    </row>
    <row r="36" spans="3:27" ht="22.5" customHeight="1" x14ac:dyDescent="0.2"/>
    <row r="37" spans="3:27" ht="22.5" customHeight="1" x14ac:dyDescent="0.2"/>
    <row r="38" spans="3:27" ht="22.5" customHeight="1" x14ac:dyDescent="0.2">
      <c r="C38" s="33" t="s">
        <v>278</v>
      </c>
      <c r="L38" s="33" t="s">
        <v>278</v>
      </c>
      <c r="Y38" s="33" t="s">
        <v>278</v>
      </c>
    </row>
    <row r="39" spans="3:27" ht="22.5" customHeight="1" x14ac:dyDescent="0.2">
      <c r="D39" s="80" t="s">
        <v>146</v>
      </c>
      <c r="E39" s="81" t="s">
        <v>116</v>
      </c>
      <c r="M39" s="80" t="s">
        <v>146</v>
      </c>
      <c r="N39" s="81" t="s">
        <v>116</v>
      </c>
      <c r="Z39" s="80" t="s">
        <v>146</v>
      </c>
      <c r="AA39" s="81" t="s">
        <v>116</v>
      </c>
    </row>
    <row r="40" spans="3:27" ht="22.5" customHeight="1" x14ac:dyDescent="0.2">
      <c r="D40" s="25" t="s">
        <v>147</v>
      </c>
      <c r="E40" s="82">
        <v>0.35977044877826903</v>
      </c>
      <c r="M40" s="25" t="s">
        <v>147</v>
      </c>
      <c r="N40" s="82">
        <v>0.22022611127642219</v>
      </c>
      <c r="Z40" s="25" t="s">
        <v>147</v>
      </c>
      <c r="AA40" s="82">
        <v>2.730114652213278</v>
      </c>
    </row>
    <row r="41" spans="3:27" ht="22.5" customHeight="1" x14ac:dyDescent="0.2">
      <c r="D41" s="25" t="s">
        <v>148</v>
      </c>
      <c r="E41" s="82">
        <v>0.33531336652856308</v>
      </c>
      <c r="M41" s="25" t="s">
        <v>148</v>
      </c>
      <c r="N41" s="82">
        <v>0.20525520931571145</v>
      </c>
      <c r="Z41" s="25" t="s">
        <v>148</v>
      </c>
      <c r="AA41" s="82">
        <v>1.5073224637692029</v>
      </c>
    </row>
    <row r="42" spans="3:27" ht="22.5" customHeight="1" x14ac:dyDescent="0.2">
      <c r="D42" s="25" t="s">
        <v>149</v>
      </c>
      <c r="E42" s="82">
        <v>0.31336064736237984</v>
      </c>
      <c r="M42" s="25" t="s">
        <v>149</v>
      </c>
      <c r="N42" s="82">
        <v>0.19181730192134538</v>
      </c>
      <c r="Z42" s="25" t="s">
        <v>149</v>
      </c>
      <c r="AA42" s="82">
        <v>1.0982143213351778</v>
      </c>
    </row>
    <row r="43" spans="3:27" ht="22.5" customHeight="1" x14ac:dyDescent="0.2">
      <c r="D43" s="25" t="s">
        <v>150</v>
      </c>
      <c r="E43" s="82">
        <v>0.29367116640631891</v>
      </c>
      <c r="M43" s="25" t="s">
        <v>150</v>
      </c>
      <c r="N43" s="82">
        <v>0.17976478944087521</v>
      </c>
      <c r="Z43" s="25" t="s">
        <v>150</v>
      </c>
      <c r="AA43" s="82">
        <v>0.89285797033857583</v>
      </c>
    </row>
    <row r="44" spans="3:27" ht="22.5" customHeight="1" x14ac:dyDescent="0.2">
      <c r="D44" s="25" t="s">
        <v>151</v>
      </c>
      <c r="E44" s="82">
        <v>0.2760252066485912</v>
      </c>
      <c r="M44" s="25" t="s">
        <v>151</v>
      </c>
      <c r="N44" s="82">
        <v>0.16896317660585405</v>
      </c>
      <c r="Z44" s="25" t="s">
        <v>151</v>
      </c>
      <c r="AA44" s="82">
        <v>0.76923361306458615</v>
      </c>
    </row>
    <row r="45" spans="3:27" ht="22.5" customHeight="1" x14ac:dyDescent="0.2"/>
    <row r="46" spans="3:27" ht="22.5" customHeight="1" x14ac:dyDescent="0.2"/>
    <row r="47" spans="3:27" ht="22.5" customHeight="1" x14ac:dyDescent="0.2"/>
    <row r="48" spans="3:27"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row r="60" ht="22.5" customHeight="1" x14ac:dyDescent="0.2"/>
    <row r="61" ht="22.5" customHeight="1" x14ac:dyDescent="0.2"/>
    <row r="62" ht="22.5" customHeight="1" x14ac:dyDescent="0.2"/>
    <row r="63" ht="22.5" customHeight="1" x14ac:dyDescent="0.2"/>
    <row r="64"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22.5" customHeight="1" x14ac:dyDescent="0.2"/>
    <row r="91" ht="22.5" customHeight="1" x14ac:dyDescent="0.2"/>
    <row r="92" ht="22.5" customHeight="1" x14ac:dyDescent="0.2"/>
    <row r="93" ht="22.5" customHeight="1" x14ac:dyDescent="0.2"/>
    <row r="94" ht="22.5" customHeight="1" x14ac:dyDescent="0.2"/>
    <row r="95" ht="22.5" customHeight="1" x14ac:dyDescent="0.2"/>
    <row r="96" ht="22.5" customHeight="1" x14ac:dyDescent="0.2"/>
    <row r="97" ht="22.5" customHeight="1" x14ac:dyDescent="0.2"/>
    <row r="98" ht="22.5" customHeight="1" x14ac:dyDescent="0.2"/>
    <row r="99" ht="22.5" customHeight="1" x14ac:dyDescent="0.2"/>
    <row r="100" ht="22.5" customHeight="1" x14ac:dyDescent="0.2"/>
    <row r="101" ht="22.5" customHeight="1" x14ac:dyDescent="0.2"/>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row r="130" ht="22.5" customHeight="1" x14ac:dyDescent="0.2"/>
    <row r="131" ht="22.5" customHeight="1" x14ac:dyDescent="0.2"/>
    <row r="132" ht="22.5" customHeight="1" x14ac:dyDescent="0.2"/>
    <row r="133" ht="22.5" customHeight="1" x14ac:dyDescent="0.2"/>
    <row r="134" ht="22.5" customHeight="1" x14ac:dyDescent="0.2"/>
    <row r="135" ht="22.5" customHeight="1" x14ac:dyDescent="0.2"/>
    <row r="136" ht="22.5" customHeight="1" x14ac:dyDescent="0.2"/>
    <row r="137" ht="22.5" customHeight="1" x14ac:dyDescent="0.2"/>
    <row r="138" ht="22.5" customHeight="1" x14ac:dyDescent="0.2"/>
    <row r="139" ht="22.5" customHeight="1" x14ac:dyDescent="0.2"/>
    <row r="140" ht="22.5" customHeight="1" x14ac:dyDescent="0.2"/>
    <row r="141" ht="22.5" customHeight="1" x14ac:dyDescent="0.2"/>
    <row r="142" ht="22.5" customHeight="1" x14ac:dyDescent="0.2"/>
    <row r="143" ht="22.5" customHeight="1" x14ac:dyDescent="0.2"/>
    <row r="144" ht="22.5" customHeight="1" x14ac:dyDescent="0.2"/>
    <row r="145" ht="22.5" customHeight="1" x14ac:dyDescent="0.2"/>
    <row r="146" ht="22.5" customHeight="1" x14ac:dyDescent="0.2"/>
    <row r="147" ht="22.5" customHeight="1" x14ac:dyDescent="0.2"/>
    <row r="148" ht="22.5" customHeight="1" x14ac:dyDescent="0.2"/>
    <row r="149" ht="22.5" customHeight="1" x14ac:dyDescent="0.2"/>
    <row r="150" ht="22.5" customHeight="1" x14ac:dyDescent="0.2"/>
    <row r="151" ht="22.5" customHeight="1" x14ac:dyDescent="0.2"/>
    <row r="152" ht="22.5" customHeight="1" x14ac:dyDescent="0.2"/>
    <row r="153" ht="22.5" customHeight="1" x14ac:dyDescent="0.2"/>
    <row r="154" ht="22.5" customHeight="1" x14ac:dyDescent="0.2"/>
    <row r="155" ht="22.5" customHeight="1" x14ac:dyDescent="0.2"/>
    <row r="156" ht="22.5" customHeight="1" x14ac:dyDescent="0.2"/>
    <row r="157" ht="22.5" customHeight="1" x14ac:dyDescent="0.2"/>
    <row r="158" ht="22.5" customHeight="1" x14ac:dyDescent="0.2"/>
    <row r="159" ht="22.5" customHeight="1" x14ac:dyDescent="0.2"/>
    <row r="160" ht="22.5" customHeight="1" x14ac:dyDescent="0.2"/>
    <row r="161" ht="22.5" customHeight="1" x14ac:dyDescent="0.2"/>
    <row r="162" ht="22.5" customHeight="1" x14ac:dyDescent="0.2"/>
    <row r="163" ht="22.5" customHeight="1" x14ac:dyDescent="0.2"/>
    <row r="164" ht="22.5" customHeight="1" x14ac:dyDescent="0.2"/>
    <row r="165" ht="22.5" customHeight="1" x14ac:dyDescent="0.2"/>
    <row r="166" ht="22.5" customHeight="1" x14ac:dyDescent="0.2"/>
    <row r="167" ht="22.5" customHeight="1" x14ac:dyDescent="0.2"/>
    <row r="168" ht="22.5" customHeight="1" x14ac:dyDescent="0.2"/>
    <row r="169" ht="22.5" customHeight="1" x14ac:dyDescent="0.2"/>
    <row r="170" ht="22.5" customHeight="1" x14ac:dyDescent="0.2"/>
    <row r="171" ht="22.5" customHeight="1" x14ac:dyDescent="0.2"/>
    <row r="172" ht="22.5" customHeight="1" x14ac:dyDescent="0.2"/>
    <row r="173" ht="22.5" customHeight="1" x14ac:dyDescent="0.2"/>
    <row r="174" ht="22.5" customHeight="1" x14ac:dyDescent="0.2"/>
    <row r="175" ht="22.5" customHeight="1" x14ac:dyDescent="0.2"/>
    <row r="176" ht="22.5" customHeight="1" x14ac:dyDescent="0.2"/>
    <row r="177" ht="22.5" customHeight="1" x14ac:dyDescent="0.2"/>
    <row r="178" ht="22.5" customHeight="1" x14ac:dyDescent="0.2"/>
    <row r="179" ht="22.5" customHeight="1" x14ac:dyDescent="0.2"/>
    <row r="180" ht="22.5" customHeight="1" x14ac:dyDescent="0.2"/>
    <row r="181" ht="22.5" customHeight="1" x14ac:dyDescent="0.2"/>
    <row r="182" ht="22.5" customHeight="1" x14ac:dyDescent="0.2"/>
    <row r="183" ht="22.5" customHeight="1" x14ac:dyDescent="0.2"/>
    <row r="184" ht="22.5" customHeight="1" x14ac:dyDescent="0.2"/>
    <row r="185" ht="22.5" customHeight="1" x14ac:dyDescent="0.2"/>
    <row r="186" ht="22.5" customHeight="1" x14ac:dyDescent="0.2"/>
    <row r="187" ht="22.5" customHeight="1" x14ac:dyDescent="0.2"/>
    <row r="188" ht="22.5" customHeight="1" x14ac:dyDescent="0.2"/>
    <row r="189" ht="22.5" customHeight="1" x14ac:dyDescent="0.2"/>
    <row r="190" ht="22.5" customHeight="1" x14ac:dyDescent="0.2"/>
    <row r="191" ht="22.5" customHeight="1" x14ac:dyDescent="0.2"/>
    <row r="192" ht="22.5" customHeight="1" x14ac:dyDescent="0.2"/>
    <row r="193" ht="22.5" customHeight="1" x14ac:dyDescent="0.2"/>
    <row r="194" ht="22.5" customHeight="1" x14ac:dyDescent="0.2"/>
    <row r="195" ht="22.5" customHeight="1" x14ac:dyDescent="0.2"/>
    <row r="196" ht="22.5" customHeight="1" x14ac:dyDescent="0.2"/>
    <row r="197" ht="22.5" customHeight="1" x14ac:dyDescent="0.2"/>
    <row r="198" ht="22.5" customHeight="1" x14ac:dyDescent="0.2"/>
    <row r="199" ht="22.5" customHeight="1" x14ac:dyDescent="0.2"/>
    <row r="200" ht="22.5" customHeight="1" x14ac:dyDescent="0.2"/>
    <row r="201" ht="22.5" customHeight="1" x14ac:dyDescent="0.2"/>
    <row r="202" ht="22.5" customHeight="1" x14ac:dyDescent="0.2"/>
    <row r="203" ht="22.5" customHeight="1" x14ac:dyDescent="0.2"/>
    <row r="204" ht="22.5" customHeight="1" x14ac:dyDescent="0.2"/>
    <row r="205" ht="22.5" customHeight="1" x14ac:dyDescent="0.2"/>
    <row r="206" ht="22.5" customHeight="1" x14ac:dyDescent="0.2"/>
    <row r="207" ht="22.5" customHeight="1" x14ac:dyDescent="0.2"/>
    <row r="208" ht="22.5" customHeight="1" x14ac:dyDescent="0.2"/>
    <row r="209" ht="22.5" customHeight="1" x14ac:dyDescent="0.2"/>
    <row r="210" ht="22.5" customHeight="1" x14ac:dyDescent="0.2"/>
    <row r="211" ht="22.5" customHeight="1" x14ac:dyDescent="0.2"/>
    <row r="212" ht="22.5" customHeight="1" x14ac:dyDescent="0.2"/>
    <row r="213" ht="22.5" customHeight="1" x14ac:dyDescent="0.2"/>
    <row r="214" ht="22.5" customHeight="1" x14ac:dyDescent="0.2"/>
    <row r="215" ht="22.5" customHeight="1" x14ac:dyDescent="0.2"/>
    <row r="216" ht="22.5" customHeight="1" x14ac:dyDescent="0.2"/>
    <row r="217" ht="22.5" customHeight="1" x14ac:dyDescent="0.2"/>
    <row r="218" ht="22.5" customHeight="1" x14ac:dyDescent="0.2"/>
    <row r="219" ht="22.5" customHeight="1" x14ac:dyDescent="0.2"/>
    <row r="220" ht="22.5" customHeight="1" x14ac:dyDescent="0.2"/>
    <row r="221" ht="22.5" customHeight="1" x14ac:dyDescent="0.2"/>
    <row r="222" ht="22.5" customHeight="1" x14ac:dyDescent="0.2"/>
    <row r="223" ht="22.5" customHeight="1" x14ac:dyDescent="0.2"/>
    <row r="224" ht="22.5" customHeight="1" x14ac:dyDescent="0.2"/>
    <row r="225" ht="22.5" customHeight="1" x14ac:dyDescent="0.2"/>
    <row r="226" ht="22.5" customHeight="1" x14ac:dyDescent="0.2"/>
    <row r="227" ht="22.5" customHeight="1" x14ac:dyDescent="0.2"/>
    <row r="228" ht="22.5" customHeight="1" x14ac:dyDescent="0.2"/>
    <row r="229" ht="22.5" customHeight="1" x14ac:dyDescent="0.2"/>
    <row r="230" ht="22.5" customHeight="1" x14ac:dyDescent="0.2"/>
    <row r="231" ht="22.5" customHeight="1" x14ac:dyDescent="0.2"/>
    <row r="232" ht="22.5" customHeight="1" x14ac:dyDescent="0.2"/>
    <row r="233" ht="22.5" customHeight="1" x14ac:dyDescent="0.2"/>
    <row r="234" ht="22.5" customHeight="1" x14ac:dyDescent="0.2"/>
    <row r="235" ht="22.5" customHeight="1" x14ac:dyDescent="0.2"/>
    <row r="236" ht="22.5" customHeight="1" x14ac:dyDescent="0.2"/>
    <row r="237" ht="22.5" customHeight="1" x14ac:dyDescent="0.2"/>
    <row r="238" ht="22.5" customHeight="1" x14ac:dyDescent="0.2"/>
    <row r="239" ht="22.5" customHeight="1" x14ac:dyDescent="0.2"/>
    <row r="240" ht="22.5" customHeight="1" x14ac:dyDescent="0.2"/>
    <row r="241" ht="22.5" customHeight="1" x14ac:dyDescent="0.2"/>
    <row r="242" ht="22.5" customHeight="1" x14ac:dyDescent="0.2"/>
    <row r="243" ht="22.5" customHeight="1" x14ac:dyDescent="0.2"/>
    <row r="244" ht="22.5" customHeight="1" x14ac:dyDescent="0.2"/>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J40"/>
  <sheetViews>
    <sheetView zoomScale="85" zoomScaleNormal="85" workbookViewId="0">
      <selection activeCell="B2" sqref="B2"/>
    </sheetView>
  </sheetViews>
  <sheetFormatPr defaultColWidth="9.140625" defaultRowHeight="12.75" x14ac:dyDescent="0.2"/>
  <cols>
    <col min="1" max="1" width="3.28515625" style="1" customWidth="1"/>
    <col min="2" max="2" width="17.85546875" style="1" customWidth="1"/>
    <col min="3" max="3" width="43.5703125" style="1" customWidth="1"/>
    <col min="4" max="4" width="14.42578125" style="1" customWidth="1"/>
    <col min="5" max="7" width="14.28515625" style="1" customWidth="1"/>
    <col min="8" max="8" width="38.28515625" style="1" customWidth="1"/>
    <col min="9" max="19" width="14.28515625" style="1" customWidth="1"/>
    <col min="20" max="16384" width="9.140625" style="1"/>
  </cols>
  <sheetData>
    <row r="1" spans="2:10" ht="23.25" customHeight="1" x14ac:dyDescent="0.2"/>
    <row r="2" spans="2:10" ht="23.25" customHeight="1" x14ac:dyDescent="0.35">
      <c r="B2" s="213" t="s">
        <v>321</v>
      </c>
    </row>
    <row r="3" spans="2:10" ht="23.25" customHeight="1" x14ac:dyDescent="0.2">
      <c r="B3" s="89" t="s">
        <v>320</v>
      </c>
    </row>
    <row r="4" spans="2:10" ht="18" customHeight="1" x14ac:dyDescent="0.25">
      <c r="B4" s="217" t="s">
        <v>124</v>
      </c>
      <c r="C4" s="217"/>
      <c r="D4" s="217"/>
      <c r="E4" s="217"/>
      <c r="G4" s="217" t="s">
        <v>125</v>
      </c>
      <c r="H4" s="217"/>
      <c r="I4" s="217"/>
      <c r="J4" s="217"/>
    </row>
    <row r="5" spans="2:10" x14ac:dyDescent="0.2">
      <c r="B5" s="2"/>
    </row>
    <row r="6" spans="2:10" ht="13.5" thickBot="1" x14ac:dyDescent="0.25">
      <c r="B6" s="2"/>
    </row>
    <row r="7" spans="2:10" ht="15.75" customHeight="1" x14ac:dyDescent="0.2">
      <c r="B7" s="29" t="s">
        <v>0</v>
      </c>
      <c r="C7" s="30"/>
      <c r="D7" s="30"/>
      <c r="E7" s="31"/>
      <c r="G7" s="29" t="s">
        <v>126</v>
      </c>
      <c r="H7" s="30"/>
      <c r="I7" s="30"/>
      <c r="J7" s="31"/>
    </row>
    <row r="8" spans="2:10" ht="15.75" customHeight="1" x14ac:dyDescent="0.2">
      <c r="B8" s="32"/>
      <c r="C8" s="40" t="s">
        <v>1</v>
      </c>
      <c r="D8" s="143">
        <v>1</v>
      </c>
      <c r="E8" s="34"/>
      <c r="G8" s="32"/>
      <c r="H8" s="40" t="s">
        <v>305</v>
      </c>
      <c r="I8" s="143">
        <v>11</v>
      </c>
      <c r="J8" s="34"/>
    </row>
    <row r="9" spans="2:10" ht="15.75" customHeight="1" x14ac:dyDescent="0.2">
      <c r="B9" s="32"/>
      <c r="C9" s="41" t="s">
        <v>47</v>
      </c>
      <c r="D9" s="144">
        <f>900000/(10^5)</f>
        <v>9</v>
      </c>
      <c r="E9" s="34"/>
      <c r="G9" s="32"/>
      <c r="H9" s="41" t="s">
        <v>127</v>
      </c>
      <c r="I9" s="144">
        <v>5</v>
      </c>
      <c r="J9" s="34"/>
    </row>
    <row r="10" spans="2:10" ht="15" customHeight="1" x14ac:dyDescent="0.2">
      <c r="B10" s="32"/>
      <c r="C10" s="26" t="s">
        <v>48</v>
      </c>
      <c r="D10" s="124">
        <f>D9*D8</f>
        <v>9</v>
      </c>
      <c r="E10" s="34"/>
      <c r="G10" s="32"/>
      <c r="H10" s="41" t="s">
        <v>132</v>
      </c>
      <c r="I10" s="44"/>
      <c r="J10" s="34"/>
    </row>
    <row r="11" spans="2:10" ht="15.75" customHeight="1" x14ac:dyDescent="0.2">
      <c r="B11" s="32"/>
      <c r="C11" s="33"/>
      <c r="D11" s="33"/>
      <c r="E11" s="34"/>
      <c r="G11" s="32"/>
      <c r="H11" s="26" t="s">
        <v>128</v>
      </c>
      <c r="I11" s="124">
        <f>I8*I9+I10</f>
        <v>55</v>
      </c>
      <c r="J11" s="34"/>
    </row>
    <row r="12" spans="2:10" ht="15.75" customHeight="1" x14ac:dyDescent="0.2">
      <c r="B12" s="32"/>
      <c r="C12" s="40" t="s">
        <v>2</v>
      </c>
      <c r="D12" s="45" t="s">
        <v>43</v>
      </c>
      <c r="E12" s="34"/>
      <c r="G12" s="32"/>
      <c r="H12" s="33"/>
      <c r="I12" s="33"/>
      <c r="J12" s="34"/>
    </row>
    <row r="13" spans="2:10" ht="15.75" customHeight="1" x14ac:dyDescent="0.2">
      <c r="B13" s="32"/>
      <c r="C13" s="41" t="s">
        <v>3</v>
      </c>
      <c r="D13" s="46" t="s">
        <v>43</v>
      </c>
      <c r="E13" s="34"/>
      <c r="G13" s="32"/>
      <c r="H13" s="40" t="s">
        <v>130</v>
      </c>
      <c r="I13" s="45">
        <v>0</v>
      </c>
      <c r="J13" s="34"/>
    </row>
    <row r="14" spans="2:10" ht="15.75" customHeight="1" x14ac:dyDescent="0.2">
      <c r="B14" s="32"/>
      <c r="C14" s="26" t="s">
        <v>4</v>
      </c>
      <c r="D14" s="125" t="s">
        <v>43</v>
      </c>
      <c r="E14" s="34"/>
      <c r="G14" s="32"/>
      <c r="H14" s="41" t="s">
        <v>131</v>
      </c>
      <c r="I14" s="46">
        <v>0</v>
      </c>
      <c r="J14" s="34"/>
    </row>
    <row r="15" spans="2:10" ht="15.75" customHeight="1" x14ac:dyDescent="0.2">
      <c r="B15" s="32"/>
      <c r="C15" s="33"/>
      <c r="D15" s="33"/>
      <c r="E15" s="34"/>
      <c r="G15" s="32"/>
      <c r="H15" s="26" t="s">
        <v>129</v>
      </c>
      <c r="I15" s="124">
        <f>SUM(I13:I14)</f>
        <v>0</v>
      </c>
      <c r="J15" s="34"/>
    </row>
    <row r="16" spans="2:10" ht="15.75" customHeight="1" x14ac:dyDescent="0.2">
      <c r="B16" s="32"/>
      <c r="C16" s="40" t="s">
        <v>55</v>
      </c>
      <c r="D16" s="47"/>
      <c r="E16" s="34"/>
      <c r="G16" s="32"/>
      <c r="H16" s="33"/>
      <c r="I16" s="33"/>
      <c r="J16" s="34"/>
    </row>
    <row r="17" spans="2:10" ht="15.75" customHeight="1" x14ac:dyDescent="0.2">
      <c r="B17" s="32"/>
      <c r="C17" s="41" t="s">
        <v>54</v>
      </c>
      <c r="D17" s="44"/>
      <c r="E17" s="34"/>
      <c r="G17" s="32"/>
      <c r="H17" s="70" t="s">
        <v>133</v>
      </c>
      <c r="I17" s="124">
        <f>I11</f>
        <v>55</v>
      </c>
      <c r="J17" s="34"/>
    </row>
    <row r="18" spans="2:10" ht="15.75" customHeight="1" thickBot="1" x14ac:dyDescent="0.25">
      <c r="B18" s="32"/>
      <c r="C18" s="26" t="s">
        <v>53</v>
      </c>
      <c r="D18" s="48"/>
      <c r="E18" s="34"/>
      <c r="G18" s="35"/>
      <c r="H18" s="36"/>
      <c r="I18" s="36"/>
      <c r="J18" s="43"/>
    </row>
    <row r="19" spans="2:10" ht="15.75" customHeight="1" x14ac:dyDescent="0.2">
      <c r="B19" s="32"/>
      <c r="C19" s="33"/>
      <c r="D19" s="33"/>
      <c r="E19" s="34"/>
    </row>
    <row r="20" spans="2:10" ht="15.75" customHeight="1" x14ac:dyDescent="0.2">
      <c r="B20" s="32"/>
      <c r="C20" s="40" t="s">
        <v>5</v>
      </c>
      <c r="D20" s="143">
        <v>3</v>
      </c>
      <c r="E20" s="34"/>
    </row>
    <row r="21" spans="2:10" ht="15.75" customHeight="1" x14ac:dyDescent="0.2">
      <c r="B21" s="32"/>
      <c r="C21" s="41" t="s">
        <v>49</v>
      </c>
      <c r="D21" s="151">
        <f>5000/(10^5)</f>
        <v>0.05</v>
      </c>
      <c r="E21" s="34"/>
    </row>
    <row r="22" spans="2:10" ht="15.75" customHeight="1" x14ac:dyDescent="0.2">
      <c r="B22" s="32"/>
      <c r="C22" s="26" t="s">
        <v>50</v>
      </c>
      <c r="D22" s="126">
        <f>D21*D20</f>
        <v>0.15000000000000002</v>
      </c>
      <c r="E22" s="34"/>
    </row>
    <row r="23" spans="2:10" ht="15.75" customHeight="1" x14ac:dyDescent="0.2">
      <c r="B23" s="32"/>
      <c r="C23" s="33"/>
      <c r="D23" s="33"/>
      <c r="E23" s="34"/>
    </row>
    <row r="24" spans="2:10" ht="15.75" customHeight="1" x14ac:dyDescent="0.2">
      <c r="B24" s="32"/>
      <c r="C24" s="40" t="s">
        <v>6</v>
      </c>
      <c r="D24" s="143">
        <f>D20</f>
        <v>3</v>
      </c>
      <c r="E24" s="34"/>
    </row>
    <row r="25" spans="2:10" ht="15.75" customHeight="1" x14ac:dyDescent="0.2">
      <c r="B25" s="32"/>
      <c r="C25" s="41" t="s">
        <v>52</v>
      </c>
      <c r="D25" s="152">
        <f>5000/(10^5)</f>
        <v>0.05</v>
      </c>
      <c r="E25" s="34"/>
    </row>
    <row r="26" spans="2:10" ht="15.75" customHeight="1" x14ac:dyDescent="0.2">
      <c r="B26" s="32"/>
      <c r="C26" s="41" t="s">
        <v>51</v>
      </c>
      <c r="D26" s="127">
        <f>D25*D24</f>
        <v>0.15000000000000002</v>
      </c>
      <c r="E26" s="34"/>
    </row>
    <row r="27" spans="2:10" ht="15.75" customHeight="1" x14ac:dyDescent="0.2">
      <c r="B27" s="32"/>
      <c r="C27" s="26" t="s">
        <v>112</v>
      </c>
      <c r="D27" s="128">
        <f>SUM(D26,D22,D10)</f>
        <v>9.3000000000000007</v>
      </c>
      <c r="E27" s="34"/>
    </row>
    <row r="28" spans="2:10" ht="15.75" customHeight="1" thickBot="1" x14ac:dyDescent="0.25">
      <c r="B28" s="35"/>
      <c r="C28" s="36"/>
      <c r="D28" s="42"/>
      <c r="E28" s="43"/>
    </row>
    <row r="29" spans="2:10" ht="15.75" customHeight="1" thickBot="1" x14ac:dyDescent="0.25">
      <c r="B29" s="33"/>
      <c r="C29" s="33"/>
      <c r="D29" s="38"/>
    </row>
    <row r="30" spans="2:10" ht="15.75" customHeight="1" x14ac:dyDescent="0.2">
      <c r="B30" s="29" t="s">
        <v>44</v>
      </c>
      <c r="C30" s="30"/>
      <c r="D30" s="51"/>
      <c r="E30" s="31"/>
    </row>
    <row r="31" spans="2:10" ht="15.75" customHeight="1" x14ac:dyDescent="0.2">
      <c r="B31" s="32"/>
      <c r="C31" s="40" t="s">
        <v>56</v>
      </c>
      <c r="D31" s="153">
        <f>50000/(10^5)</f>
        <v>0.5</v>
      </c>
      <c r="E31" s="34"/>
    </row>
    <row r="32" spans="2:10" ht="15.75" customHeight="1" x14ac:dyDescent="0.2">
      <c r="B32" s="32"/>
      <c r="C32" s="41" t="s">
        <v>57</v>
      </c>
      <c r="D32" s="154">
        <f>10000/(10^5)</f>
        <v>0.1</v>
      </c>
      <c r="E32" s="34"/>
    </row>
    <row r="33" spans="2:5" ht="15.75" customHeight="1" x14ac:dyDescent="0.2">
      <c r="B33" s="32"/>
      <c r="C33" s="41" t="s">
        <v>58</v>
      </c>
      <c r="D33" s="154">
        <f>10000/(10^5)</f>
        <v>0.1</v>
      </c>
      <c r="E33" s="34"/>
    </row>
    <row r="34" spans="2:5" ht="15.75" customHeight="1" x14ac:dyDescent="0.2">
      <c r="B34" s="32"/>
      <c r="C34" s="26" t="s">
        <v>59</v>
      </c>
      <c r="D34" s="155">
        <f>SUM(D31:D33)</f>
        <v>0.7</v>
      </c>
      <c r="E34" s="34"/>
    </row>
    <row r="35" spans="2:5" ht="15.75" customHeight="1" thickBot="1" x14ac:dyDescent="0.25">
      <c r="B35" s="35"/>
      <c r="C35" s="36"/>
      <c r="D35" s="36"/>
      <c r="E35" s="43"/>
    </row>
    <row r="36" spans="2:5" ht="15.75" customHeight="1" x14ac:dyDescent="0.2"/>
    <row r="37" spans="2:5" ht="15.75" customHeight="1" x14ac:dyDescent="0.2"/>
    <row r="38" spans="2:5" ht="15.75" customHeight="1" x14ac:dyDescent="0.2"/>
    <row r="39" spans="2:5" ht="15.75" customHeight="1" x14ac:dyDescent="0.2"/>
    <row r="40" spans="2:5" ht="15.75" customHeight="1" x14ac:dyDescent="0.2"/>
  </sheetData>
  <mergeCells count="2">
    <mergeCell ref="B4:E4"/>
    <mergeCell ref="G4:J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85"/>
  <sheetViews>
    <sheetView zoomScale="85" zoomScaleNormal="85" workbookViewId="0">
      <selection activeCell="A3" sqref="A3"/>
    </sheetView>
  </sheetViews>
  <sheetFormatPr defaultColWidth="9.140625" defaultRowHeight="12.75" x14ac:dyDescent="0.2"/>
  <cols>
    <col min="1" max="1" width="3.28515625" style="1" customWidth="1"/>
    <col min="2" max="2" width="16.140625" style="1" customWidth="1"/>
    <col min="3" max="3" width="46.85546875" style="1" customWidth="1"/>
    <col min="4" max="4" width="21" style="1" customWidth="1"/>
    <col min="5" max="5" width="14.28515625" style="1" customWidth="1"/>
    <col min="6" max="6" width="19.85546875" style="1" customWidth="1"/>
    <col min="7" max="9" width="14.28515625" style="1" customWidth="1"/>
    <col min="10" max="10" width="38.7109375" style="1" bestFit="1" customWidth="1"/>
    <col min="11" max="19" width="14.28515625" style="1" customWidth="1"/>
    <col min="20" max="16384" width="9.140625" style="1"/>
  </cols>
  <sheetData>
    <row r="1" spans="2:12" ht="22.5" customHeight="1" x14ac:dyDescent="0.2"/>
    <row r="2" spans="2:12" ht="22.5" customHeight="1" x14ac:dyDescent="0.35">
      <c r="B2" s="213" t="s">
        <v>323</v>
      </c>
    </row>
    <row r="3" spans="2:12" ht="22.5" customHeight="1" x14ac:dyDescent="0.2">
      <c r="B3" s="89" t="s">
        <v>320</v>
      </c>
    </row>
    <row r="4" spans="2:12" ht="15.75" customHeight="1" x14ac:dyDescent="0.25">
      <c r="B4" s="217" t="s">
        <v>124</v>
      </c>
      <c r="C4" s="217"/>
      <c r="D4" s="217"/>
      <c r="E4" s="217"/>
      <c r="I4" s="217" t="s">
        <v>125</v>
      </c>
      <c r="J4" s="217"/>
      <c r="K4" s="217"/>
      <c r="L4" s="217"/>
    </row>
    <row r="5" spans="2:12" ht="15.75" customHeight="1" thickBot="1" x14ac:dyDescent="0.25">
      <c r="B5" s="2"/>
    </row>
    <row r="6" spans="2:12" x14ac:dyDescent="0.2">
      <c r="B6" s="29" t="s">
        <v>7</v>
      </c>
      <c r="C6" s="30"/>
      <c r="D6" s="30"/>
      <c r="E6" s="31"/>
      <c r="I6" s="29" t="s">
        <v>139</v>
      </c>
      <c r="J6" s="30"/>
      <c r="K6" s="30"/>
      <c r="L6" s="31"/>
    </row>
    <row r="7" spans="2:12" ht="15.75" customHeight="1" x14ac:dyDescent="0.2">
      <c r="B7" s="32"/>
      <c r="C7" s="40" t="s">
        <v>8</v>
      </c>
      <c r="D7" s="156">
        <f>'Capital cost estimates'!D8</f>
        <v>1</v>
      </c>
      <c r="E7" s="34"/>
      <c r="I7" s="32"/>
      <c r="J7" s="23" t="s">
        <v>134</v>
      </c>
      <c r="K7" s="146">
        <v>3</v>
      </c>
      <c r="L7" s="34"/>
    </row>
    <row r="8" spans="2:12" ht="15.75" customHeight="1" x14ac:dyDescent="0.2">
      <c r="B8" s="32"/>
      <c r="C8" s="41" t="s">
        <v>88</v>
      </c>
      <c r="D8" s="151">
        <f>12000/G8</f>
        <v>0.12</v>
      </c>
      <c r="E8" s="33"/>
      <c r="F8" s="170" t="s">
        <v>60</v>
      </c>
      <c r="G8" s="171">
        <f>10^5</f>
        <v>100000</v>
      </c>
      <c r="I8" s="32"/>
      <c r="J8" s="23" t="s">
        <v>135</v>
      </c>
      <c r="K8" s="146">
        <f>7000/10^5</f>
        <v>7.0000000000000007E-2</v>
      </c>
      <c r="L8" s="34"/>
    </row>
    <row r="9" spans="2:12" ht="15.75" customHeight="1" x14ac:dyDescent="0.2">
      <c r="B9" s="32"/>
      <c r="C9" s="26" t="s">
        <v>87</v>
      </c>
      <c r="D9" s="126">
        <f>D8*D7*G9</f>
        <v>1.44</v>
      </c>
      <c r="E9" s="33"/>
      <c r="F9" s="172" t="s">
        <v>86</v>
      </c>
      <c r="G9" s="173">
        <v>12</v>
      </c>
      <c r="I9" s="32"/>
      <c r="J9" s="23" t="s">
        <v>136</v>
      </c>
      <c r="K9" s="126">
        <f>K8*K7*12</f>
        <v>2.5200000000000005</v>
      </c>
      <c r="L9" s="34"/>
    </row>
    <row r="10" spans="2:12" ht="5.25" customHeight="1" x14ac:dyDescent="0.2">
      <c r="B10" s="32"/>
      <c r="C10" s="33"/>
      <c r="D10" s="33"/>
      <c r="E10" s="34"/>
      <c r="I10" s="32"/>
      <c r="J10" s="23"/>
      <c r="K10" s="23"/>
      <c r="L10" s="34"/>
    </row>
    <row r="11" spans="2:12" ht="15.75" customHeight="1" x14ac:dyDescent="0.2">
      <c r="B11" s="32"/>
      <c r="C11" s="40" t="s">
        <v>9</v>
      </c>
      <c r="D11" s="143">
        <f>'Capital cost estimates'!D8*2</f>
        <v>2</v>
      </c>
      <c r="E11" s="34"/>
      <c r="I11" s="32"/>
      <c r="J11" s="23" t="s">
        <v>242</v>
      </c>
      <c r="K11" s="126">
        <f>K7*4.5%*K8*G9</f>
        <v>0.11340000000000003</v>
      </c>
      <c r="L11" s="34"/>
    </row>
    <row r="12" spans="2:12" ht="15.75" customHeight="1" x14ac:dyDescent="0.2">
      <c r="B12" s="32"/>
      <c r="C12" s="41" t="s">
        <v>89</v>
      </c>
      <c r="D12" s="151">
        <f>D8</f>
        <v>0.12</v>
      </c>
      <c r="E12" s="34"/>
      <c r="I12" s="32"/>
      <c r="J12" s="23" t="s">
        <v>243</v>
      </c>
      <c r="K12" s="126">
        <f>(833/G8)*K7*G9</f>
        <v>0.29988000000000004</v>
      </c>
      <c r="L12" s="34"/>
    </row>
    <row r="13" spans="2:12" ht="15.75" customHeight="1" x14ac:dyDescent="0.2">
      <c r="B13" s="32"/>
      <c r="C13" s="26" t="s">
        <v>90</v>
      </c>
      <c r="D13" s="126">
        <f>D12*D11*G9</f>
        <v>2.88</v>
      </c>
      <c r="E13" s="34"/>
      <c r="I13" s="32"/>
      <c r="J13" s="23" t="s">
        <v>137</v>
      </c>
      <c r="K13" s="126">
        <f>5%*'Capital cost estimates'!I11</f>
        <v>2.75</v>
      </c>
      <c r="L13" s="34"/>
    </row>
    <row r="14" spans="2:12" ht="18.75" customHeight="1" x14ac:dyDescent="0.2">
      <c r="B14" s="32"/>
      <c r="C14" s="33"/>
      <c r="D14" s="33"/>
      <c r="E14" s="34"/>
      <c r="I14" s="32"/>
      <c r="L14" s="34"/>
    </row>
    <row r="15" spans="2:12" ht="15.75" customHeight="1" x14ac:dyDescent="0.2">
      <c r="B15" s="32"/>
      <c r="C15" s="40" t="s">
        <v>10</v>
      </c>
      <c r="D15" s="45" t="s">
        <v>43</v>
      </c>
      <c r="E15" s="34"/>
      <c r="I15" s="32"/>
      <c r="J15" s="33"/>
      <c r="K15" s="33"/>
      <c r="L15" s="34"/>
    </row>
    <row r="16" spans="2:12" ht="15.75" customHeight="1" x14ac:dyDescent="0.2">
      <c r="B16" s="32"/>
      <c r="C16" s="41" t="s">
        <v>93</v>
      </c>
      <c r="D16" s="46" t="s">
        <v>43</v>
      </c>
      <c r="E16" s="34"/>
      <c r="I16" s="32"/>
      <c r="J16" s="70" t="s">
        <v>138</v>
      </c>
      <c r="K16" s="66">
        <f>SUM(K9,K11:K13)</f>
        <v>5.6832799999999999</v>
      </c>
      <c r="L16" s="34"/>
    </row>
    <row r="17" spans="2:12" ht="15.75" customHeight="1" thickBot="1" x14ac:dyDescent="0.25">
      <c r="B17" s="32"/>
      <c r="C17" s="26" t="s">
        <v>94</v>
      </c>
      <c r="D17" s="125" t="s">
        <v>43</v>
      </c>
      <c r="E17" s="34"/>
      <c r="I17" s="35"/>
      <c r="J17" s="36"/>
      <c r="K17" s="36"/>
      <c r="L17" s="43"/>
    </row>
    <row r="18" spans="2:12" ht="4.5" customHeight="1" x14ac:dyDescent="0.2">
      <c r="B18" s="32"/>
      <c r="C18" s="33"/>
      <c r="D18" s="39"/>
      <c r="E18" s="34"/>
    </row>
    <row r="19" spans="2:12" ht="15.75" customHeight="1" x14ac:dyDescent="0.2">
      <c r="B19" s="32"/>
      <c r="C19" s="40" t="s">
        <v>11</v>
      </c>
      <c r="D19" s="45" t="s">
        <v>43</v>
      </c>
      <c r="E19" s="34"/>
    </row>
    <row r="20" spans="2:12" ht="15.75" customHeight="1" x14ac:dyDescent="0.2">
      <c r="B20" s="32"/>
      <c r="C20" s="41" t="s">
        <v>95</v>
      </c>
      <c r="D20" s="46" t="s">
        <v>43</v>
      </c>
      <c r="E20" s="34"/>
    </row>
    <row r="21" spans="2:12" ht="15.75" customHeight="1" x14ac:dyDescent="0.2">
      <c r="B21" s="32"/>
      <c r="C21" s="26" t="s">
        <v>96</v>
      </c>
      <c r="D21" s="125" t="s">
        <v>43</v>
      </c>
      <c r="E21" s="34"/>
    </row>
    <row r="22" spans="2:12" ht="4.5" customHeight="1" x14ac:dyDescent="0.2">
      <c r="B22" s="32"/>
      <c r="C22" s="33"/>
      <c r="D22" s="39"/>
      <c r="E22" s="34"/>
    </row>
    <row r="23" spans="2:12" ht="15.75" customHeight="1" x14ac:dyDescent="0.2">
      <c r="B23" s="32"/>
      <c r="C23" s="40" t="s">
        <v>12</v>
      </c>
      <c r="D23" s="45" t="s">
        <v>43</v>
      </c>
      <c r="E23" s="34"/>
    </row>
    <row r="24" spans="2:12" ht="15.75" customHeight="1" x14ac:dyDescent="0.2">
      <c r="B24" s="32"/>
      <c r="C24" s="41" t="s">
        <v>97</v>
      </c>
      <c r="D24" s="46" t="s">
        <v>43</v>
      </c>
      <c r="E24" s="34"/>
    </row>
    <row r="25" spans="2:12" ht="15.75" customHeight="1" x14ac:dyDescent="0.2">
      <c r="B25" s="32"/>
      <c r="C25" s="26" t="s">
        <v>98</v>
      </c>
      <c r="D25" s="125" t="s">
        <v>43</v>
      </c>
      <c r="E25" s="34"/>
    </row>
    <row r="26" spans="2:12" ht="6.75" customHeight="1" x14ac:dyDescent="0.2">
      <c r="B26" s="32"/>
      <c r="C26" s="33"/>
      <c r="D26" s="39"/>
      <c r="E26" s="34"/>
    </row>
    <row r="27" spans="2:12" x14ac:dyDescent="0.2">
      <c r="B27" s="32"/>
      <c r="C27" s="40" t="s">
        <v>13</v>
      </c>
      <c r="D27" s="45" t="s">
        <v>43</v>
      </c>
      <c r="E27" s="34"/>
    </row>
    <row r="28" spans="2:12" ht="15.75" customHeight="1" x14ac:dyDescent="0.2">
      <c r="B28" s="32"/>
      <c r="C28" s="41" t="s">
        <v>99</v>
      </c>
      <c r="D28" s="46" t="s">
        <v>43</v>
      </c>
      <c r="E28" s="34"/>
    </row>
    <row r="29" spans="2:12" ht="15.75" customHeight="1" x14ac:dyDescent="0.2">
      <c r="B29" s="32"/>
      <c r="C29" s="26" t="s">
        <v>100</v>
      </c>
      <c r="D29" s="125" t="s">
        <v>43</v>
      </c>
      <c r="E29" s="34"/>
    </row>
    <row r="30" spans="2:12" ht="5.25" customHeight="1" x14ac:dyDescent="0.2">
      <c r="B30" s="32"/>
      <c r="C30" s="33"/>
      <c r="D30" s="33"/>
      <c r="E30" s="34"/>
    </row>
    <row r="31" spans="2:12" ht="15.75" customHeight="1" x14ac:dyDescent="0.2">
      <c r="B31" s="32"/>
      <c r="C31" s="40" t="s">
        <v>91</v>
      </c>
      <c r="D31" s="157">
        <f>833/G8</f>
        <v>8.3300000000000006E-3</v>
      </c>
      <c r="E31" s="34"/>
    </row>
    <row r="32" spans="2:12" ht="15.75" customHeight="1" x14ac:dyDescent="0.2">
      <c r="B32" s="32"/>
      <c r="C32" s="41" t="s">
        <v>92</v>
      </c>
      <c r="D32" s="129">
        <f>D31*(D7+D11)*G9</f>
        <v>0.29988000000000004</v>
      </c>
      <c r="E32" s="34"/>
    </row>
    <row r="33" spans="2:5" ht="16.5" customHeight="1" x14ac:dyDescent="0.2">
      <c r="B33" s="32"/>
      <c r="C33" s="41" t="s">
        <v>101</v>
      </c>
      <c r="D33" s="57">
        <v>0</v>
      </c>
      <c r="E33" s="34"/>
    </row>
    <row r="34" spans="2:5" ht="15.75" customHeight="1" x14ac:dyDescent="0.2">
      <c r="B34" s="32"/>
      <c r="C34" s="41" t="s">
        <v>102</v>
      </c>
      <c r="D34" s="158">
        <f>(3000/G8)*G9</f>
        <v>0.36</v>
      </c>
      <c r="E34" s="34"/>
    </row>
    <row r="35" spans="2:5" ht="15.75" customHeight="1" x14ac:dyDescent="0.2">
      <c r="B35" s="32"/>
      <c r="C35" s="26" t="s">
        <v>103</v>
      </c>
      <c r="D35" s="159">
        <f>(15000/G8)*G9</f>
        <v>1.7999999999999998</v>
      </c>
      <c r="E35" s="34"/>
    </row>
    <row r="36" spans="2:5" ht="15.75" customHeight="1" thickBot="1" x14ac:dyDescent="0.25">
      <c r="B36" s="35"/>
      <c r="C36" s="36"/>
      <c r="D36" s="36"/>
      <c r="E36" s="43"/>
    </row>
    <row r="37" spans="2:5" ht="13.5" thickBot="1" x14ac:dyDescent="0.25"/>
    <row r="38" spans="2:5" ht="38.25" x14ac:dyDescent="0.2">
      <c r="B38" s="53" t="s">
        <v>16</v>
      </c>
      <c r="C38" s="30"/>
      <c r="D38" s="30"/>
      <c r="E38" s="31"/>
    </row>
    <row r="39" spans="2:5" ht="16.5" customHeight="1" x14ac:dyDescent="0.2">
      <c r="B39" s="32"/>
      <c r="C39" s="40" t="s">
        <v>61</v>
      </c>
      <c r="D39" s="160">
        <f>2700/G8</f>
        <v>2.7E-2</v>
      </c>
      <c r="E39" s="34"/>
    </row>
    <row r="40" spans="2:5" ht="15.75" customHeight="1" x14ac:dyDescent="0.2">
      <c r="B40" s="54"/>
      <c r="C40" s="41" t="s">
        <v>62</v>
      </c>
      <c r="D40" s="130">
        <f>D39*'Capital cost estimates'!D8*G9</f>
        <v>0.32400000000000001</v>
      </c>
      <c r="E40" s="34"/>
    </row>
    <row r="41" spans="2:5" ht="15.75" customHeight="1" x14ac:dyDescent="0.2">
      <c r="B41" s="54"/>
      <c r="C41" s="41" t="s">
        <v>63</v>
      </c>
      <c r="D41" s="49"/>
      <c r="E41" s="34"/>
    </row>
    <row r="42" spans="2:5" ht="15.75" customHeight="1" x14ac:dyDescent="0.2">
      <c r="B42" s="54"/>
      <c r="C42" s="41" t="s">
        <v>64</v>
      </c>
      <c r="D42" s="37"/>
      <c r="E42" s="34"/>
    </row>
    <row r="43" spans="2:5" ht="15" customHeight="1" x14ac:dyDescent="0.2">
      <c r="B43" s="54"/>
      <c r="C43" s="26" t="s">
        <v>65</v>
      </c>
      <c r="D43" s="131">
        <f>SUM(D42,D40)</f>
        <v>0.32400000000000001</v>
      </c>
      <c r="E43" s="34"/>
    </row>
    <row r="44" spans="2:5" ht="15.75" customHeight="1" thickBot="1" x14ac:dyDescent="0.25">
      <c r="B44" s="35"/>
      <c r="C44" s="36"/>
      <c r="D44" s="36"/>
      <c r="E44" s="43"/>
    </row>
    <row r="45" spans="2:5" ht="15.75" customHeight="1" x14ac:dyDescent="0.2">
      <c r="B45" s="29" t="s">
        <v>239</v>
      </c>
      <c r="C45" s="30"/>
      <c r="D45" s="30"/>
      <c r="E45" s="31"/>
    </row>
    <row r="46" spans="2:5" ht="15.75" customHeight="1" x14ac:dyDescent="0.2">
      <c r="B46" s="32"/>
      <c r="C46" s="40" t="s">
        <v>240</v>
      </c>
      <c r="D46" s="160">
        <f>4.5%*D8</f>
        <v>5.3999999999999994E-3</v>
      </c>
      <c r="E46" s="34"/>
    </row>
    <row r="47" spans="2:5" ht="15.75" customHeight="1" x14ac:dyDescent="0.2">
      <c r="B47" s="32"/>
      <c r="C47" s="26" t="s">
        <v>241</v>
      </c>
      <c r="D47" s="131">
        <f>D46*(D7+D11)*G9</f>
        <v>0.19439999999999999</v>
      </c>
      <c r="E47" s="34"/>
    </row>
    <row r="48" spans="2:5" ht="15" customHeight="1" thickBot="1" x14ac:dyDescent="0.25">
      <c r="B48" s="35"/>
      <c r="C48" s="36"/>
      <c r="D48" s="36"/>
      <c r="E48" s="43"/>
    </row>
    <row r="49" spans="2:5" ht="16.5" customHeight="1" thickBot="1" x14ac:dyDescent="0.25"/>
    <row r="50" spans="2:5" ht="15.75" customHeight="1" x14ac:dyDescent="0.2">
      <c r="B50" s="53" t="s">
        <v>17</v>
      </c>
      <c r="C50" s="30"/>
      <c r="D50" s="30"/>
      <c r="E50" s="31"/>
    </row>
    <row r="51" spans="2:5" ht="15" customHeight="1" x14ac:dyDescent="0.2">
      <c r="B51" s="32"/>
      <c r="C51" s="40" t="s">
        <v>61</v>
      </c>
      <c r="D51" s="161">
        <f>1000/G8</f>
        <v>0.01</v>
      </c>
      <c r="E51" s="34"/>
    </row>
    <row r="52" spans="2:5" ht="15.75" customHeight="1" x14ac:dyDescent="0.2">
      <c r="B52" s="54"/>
      <c r="C52" s="41" t="s">
        <v>66</v>
      </c>
      <c r="D52" s="107">
        <f>D51*'Capital cost estimates'!D8*G9</f>
        <v>0.12</v>
      </c>
      <c r="E52" s="34"/>
    </row>
    <row r="53" spans="2:5" ht="15.75" customHeight="1" x14ac:dyDescent="0.2">
      <c r="B53" s="54"/>
      <c r="C53" s="41" t="s">
        <v>63</v>
      </c>
      <c r="D53" s="50"/>
      <c r="E53" s="34"/>
    </row>
    <row r="54" spans="2:5" ht="15.75" customHeight="1" x14ac:dyDescent="0.2">
      <c r="B54" s="54"/>
      <c r="C54" s="41" t="s">
        <v>67</v>
      </c>
      <c r="D54" s="37"/>
      <c r="E54" s="34"/>
    </row>
    <row r="55" spans="2:5" ht="16.5" customHeight="1" x14ac:dyDescent="0.2">
      <c r="B55" s="54"/>
      <c r="C55" s="26" t="s">
        <v>68</v>
      </c>
      <c r="D55" s="52">
        <f>D54+D52</f>
        <v>0.12</v>
      </c>
      <c r="E55" s="34"/>
    </row>
    <row r="56" spans="2:5" ht="24.75" customHeight="1" x14ac:dyDescent="0.2">
      <c r="B56" s="32"/>
      <c r="C56" s="33"/>
      <c r="D56" s="33"/>
      <c r="E56" s="34"/>
    </row>
    <row r="57" spans="2:5" ht="15.75" customHeight="1" x14ac:dyDescent="0.2">
      <c r="B57" s="32"/>
      <c r="C57" s="25" t="s">
        <v>84</v>
      </c>
      <c r="D57" s="108">
        <f>(2000/G8)*G9</f>
        <v>0.24</v>
      </c>
      <c r="E57" s="34"/>
    </row>
    <row r="58" spans="2:5" ht="15.75" customHeight="1" thickBot="1" x14ac:dyDescent="0.25">
      <c r="B58" s="55"/>
      <c r="C58" s="36"/>
      <c r="D58" s="36"/>
      <c r="E58" s="43"/>
    </row>
    <row r="59" spans="2:5" ht="15.75" customHeight="1" thickBot="1" x14ac:dyDescent="0.25"/>
    <row r="60" spans="2:5" ht="42.75" customHeight="1" x14ac:dyDescent="0.2">
      <c r="B60" s="53" t="s">
        <v>45</v>
      </c>
      <c r="C60" s="30"/>
      <c r="D60" s="30"/>
      <c r="E60" s="31"/>
    </row>
    <row r="61" spans="2:5" ht="22.5" customHeight="1" x14ac:dyDescent="0.2">
      <c r="B61" s="54"/>
      <c r="C61" s="40" t="s">
        <v>69</v>
      </c>
      <c r="D61" s="21">
        <v>0</v>
      </c>
      <c r="E61" s="34"/>
    </row>
    <row r="62" spans="2:5" ht="15.75" customHeight="1" x14ac:dyDescent="0.2">
      <c r="B62" s="54"/>
      <c r="C62" s="41" t="s">
        <v>70</v>
      </c>
      <c r="D62" s="154">
        <f>25000/G8</f>
        <v>0.25</v>
      </c>
      <c r="E62" s="34"/>
    </row>
    <row r="63" spans="2:5" ht="24.75" customHeight="1" x14ac:dyDescent="0.2">
      <c r="B63" s="54"/>
      <c r="C63" s="26" t="s">
        <v>71</v>
      </c>
      <c r="D63" s="162">
        <f>10000/G8</f>
        <v>0.1</v>
      </c>
      <c r="E63" s="34"/>
    </row>
    <row r="64" spans="2:5" ht="15.75" customHeight="1" thickBot="1" x14ac:dyDescent="0.25">
      <c r="B64" s="35"/>
      <c r="C64" s="36"/>
      <c r="D64" s="36"/>
      <c r="E64" s="43"/>
    </row>
    <row r="65" spans="2:10" ht="23.25" customHeight="1" x14ac:dyDescent="0.2">
      <c r="B65" s="2" t="s">
        <v>85</v>
      </c>
    </row>
    <row r="66" spans="2:10" ht="15.75" customHeight="1" x14ac:dyDescent="0.2">
      <c r="B66" s="56" t="s">
        <v>72</v>
      </c>
      <c r="C66" s="27"/>
      <c r="D66" s="27"/>
      <c r="E66" s="27"/>
      <c r="F66" s="27"/>
      <c r="G66" s="27"/>
      <c r="H66" s="27"/>
      <c r="I66" s="27"/>
      <c r="J66" s="28"/>
    </row>
    <row r="67" spans="2:10" ht="27.75" customHeight="1" x14ac:dyDescent="0.2">
      <c r="B67" s="17"/>
      <c r="C67" s="18" t="s">
        <v>73</v>
      </c>
      <c r="D67" s="18" t="s">
        <v>74</v>
      </c>
      <c r="E67" s="19" t="s">
        <v>75</v>
      </c>
      <c r="F67" s="18" t="s">
        <v>76</v>
      </c>
      <c r="G67" s="18" t="s">
        <v>77</v>
      </c>
      <c r="H67" s="18" t="s">
        <v>78</v>
      </c>
      <c r="I67" s="19" t="s">
        <v>79</v>
      </c>
      <c r="J67" s="20" t="s">
        <v>80</v>
      </c>
    </row>
    <row r="68" spans="2:10" ht="15.75" customHeight="1" x14ac:dyDescent="0.2">
      <c r="B68" s="7" t="s">
        <v>81</v>
      </c>
      <c r="C68" s="8">
        <f>D68*'Key Assumptions'!$E$27</f>
        <v>1232</v>
      </c>
      <c r="D68" s="9">
        <v>0.7</v>
      </c>
      <c r="E68" s="10">
        <v>8</v>
      </c>
      <c r="F68" s="10">
        <v>10</v>
      </c>
      <c r="G68" s="11">
        <v>60</v>
      </c>
      <c r="H68" s="12">
        <f>G68/F68</f>
        <v>6</v>
      </c>
      <c r="I68" s="109">
        <f>C68*E68*H68</f>
        <v>59136</v>
      </c>
      <c r="J68" s="13">
        <f>I68</f>
        <v>59136</v>
      </c>
    </row>
    <row r="69" spans="2:10" ht="15.75" customHeight="1" x14ac:dyDescent="0.2">
      <c r="B69" s="7" t="s">
        <v>82</v>
      </c>
      <c r="C69" s="8">
        <f>D69*'Key Assumptions'!$E$27</f>
        <v>352</v>
      </c>
      <c r="D69" s="9">
        <v>0.2</v>
      </c>
      <c r="E69" s="10">
        <v>10</v>
      </c>
      <c r="F69" s="10">
        <v>10</v>
      </c>
      <c r="G69" s="11">
        <v>60</v>
      </c>
      <c r="H69" s="12">
        <f t="shared" ref="H69:H70" si="0">G69/F69</f>
        <v>6</v>
      </c>
      <c r="I69" s="109">
        <f>C69*E69*H69</f>
        <v>21120</v>
      </c>
      <c r="J69" s="13">
        <f>I69</f>
        <v>21120</v>
      </c>
    </row>
    <row r="70" spans="2:10" ht="15.75" customHeight="1" x14ac:dyDescent="0.2">
      <c r="B70" s="7" t="s">
        <v>83</v>
      </c>
      <c r="C70" s="8">
        <f>D70*'Key Assumptions'!$E$27</f>
        <v>176</v>
      </c>
      <c r="D70" s="9">
        <v>0.1</v>
      </c>
      <c r="E70" s="10">
        <v>15</v>
      </c>
      <c r="F70" s="10">
        <v>10</v>
      </c>
      <c r="G70" s="11">
        <v>60</v>
      </c>
      <c r="H70" s="12">
        <f t="shared" si="0"/>
        <v>6</v>
      </c>
      <c r="I70" s="109">
        <f>C70*E70*H70</f>
        <v>15840</v>
      </c>
      <c r="J70" s="13">
        <f>I70</f>
        <v>15840</v>
      </c>
    </row>
    <row r="71" spans="2:10" ht="15.75" customHeight="1" x14ac:dyDescent="0.2">
      <c r="B71" s="14"/>
      <c r="C71" s="136">
        <f>SUM(C68:C70)</f>
        <v>1760</v>
      </c>
      <c r="D71" s="15"/>
      <c r="E71" s="15"/>
      <c r="F71" s="15"/>
      <c r="G71" s="15"/>
      <c r="H71" s="15"/>
      <c r="I71" s="16"/>
      <c r="J71" s="110">
        <f>SUM(J68:J70)/G8</f>
        <v>0.96096000000000004</v>
      </c>
    </row>
    <row r="72" spans="2:10" ht="15.75" customHeight="1" x14ac:dyDescent="0.2"/>
    <row r="73" spans="2:10" ht="15.75" customHeight="1" x14ac:dyDescent="0.2">
      <c r="D73" s="1">
        <f>SUMPRODUCT(C68:C70,E68:E70)</f>
        <v>16016</v>
      </c>
    </row>
    <row r="74" spans="2:10" ht="15.75" customHeight="1" x14ac:dyDescent="0.2"/>
    <row r="75" spans="2:10" ht="15.75" customHeight="1" x14ac:dyDescent="0.2"/>
    <row r="76" spans="2:10" ht="15.75" customHeight="1" x14ac:dyDescent="0.2"/>
    <row r="77" spans="2:10" ht="15.75" customHeight="1" x14ac:dyDescent="0.2"/>
    <row r="78" spans="2:10" ht="15.75" customHeight="1" x14ac:dyDescent="0.2"/>
    <row r="79" spans="2:10" ht="15.75" customHeight="1" x14ac:dyDescent="0.2"/>
    <row r="80" spans="2:10" ht="15.75" customHeight="1" x14ac:dyDescent="0.2"/>
    <row r="81" ht="15.75" customHeight="1" x14ac:dyDescent="0.2"/>
    <row r="82" ht="15.75" customHeight="1" x14ac:dyDescent="0.2"/>
    <row r="83" ht="15.75" customHeight="1" x14ac:dyDescent="0.2"/>
    <row r="84" ht="15.75" customHeight="1" x14ac:dyDescent="0.2"/>
    <row r="85" ht="15.75" customHeight="1" x14ac:dyDescent="0.2"/>
  </sheetData>
  <mergeCells count="2">
    <mergeCell ref="B4:E4"/>
    <mergeCell ref="I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7103F"/>
  </sheetPr>
  <dimension ref="A1"/>
  <sheetViews>
    <sheetView workbookViewId="0">
      <selection activeCell="F11" sqref="F11"/>
    </sheetView>
  </sheetViews>
  <sheetFormatPr defaultColWidth="9.140625" defaultRowHeight="15" x14ac:dyDescent="0.25"/>
  <cols>
    <col min="1" max="16384" width="9.140625" style="184"/>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M197"/>
  <sheetViews>
    <sheetView zoomScale="85" zoomScaleNormal="85" workbookViewId="0">
      <pane xSplit="4" ySplit="6" topLeftCell="E7" activePane="bottomRight" state="frozen"/>
      <selection pane="topRight" activeCell="E1" sqref="E1"/>
      <selection pane="bottomLeft" activeCell="A11" sqref="A11"/>
      <selection pane="bottomRight" activeCell="J1" sqref="J1"/>
    </sheetView>
  </sheetViews>
  <sheetFormatPr defaultColWidth="9.140625" defaultRowHeight="12.75" x14ac:dyDescent="0.2"/>
  <cols>
    <col min="1" max="1" width="3.28515625" style="1" customWidth="1"/>
    <col min="2" max="2" width="37.140625" style="1" customWidth="1"/>
    <col min="3" max="3" width="51.7109375" style="1" bestFit="1" customWidth="1"/>
    <col min="4" max="4" width="17.28515625" style="1" bestFit="1" customWidth="1"/>
    <col min="5" max="5" width="12.85546875" style="1" customWidth="1"/>
    <col min="6" max="6" width="24.85546875" style="1" bestFit="1" customWidth="1"/>
    <col min="7" max="10" width="12.85546875" style="1" customWidth="1"/>
    <col min="11" max="16" width="14.28515625" style="1" customWidth="1"/>
    <col min="17" max="16384" width="9.140625" style="1"/>
  </cols>
  <sheetData>
    <row r="1" spans="2:13" ht="7.5" customHeight="1" x14ac:dyDescent="0.2"/>
    <row r="2" spans="2:13" ht="51.75" customHeight="1" x14ac:dyDescent="0.2"/>
    <row r="3" spans="2:13" ht="18.75" x14ac:dyDescent="0.3">
      <c r="B3" s="215" t="s">
        <v>189</v>
      </c>
    </row>
    <row r="4" spans="2:13" ht="15" x14ac:dyDescent="0.25">
      <c r="B4" s="75" t="s">
        <v>324</v>
      </c>
    </row>
    <row r="5" spans="2:13" ht="15.75" customHeight="1" x14ac:dyDescent="0.2">
      <c r="D5" s="195" t="s">
        <v>27</v>
      </c>
      <c r="E5" s="195"/>
      <c r="F5" s="195"/>
      <c r="G5" s="195"/>
      <c r="H5" s="196" t="s">
        <v>20</v>
      </c>
      <c r="I5" s="195"/>
      <c r="J5" s="195"/>
      <c r="K5" s="195"/>
      <c r="L5" s="195" t="s">
        <v>192</v>
      </c>
      <c r="M5" s="195"/>
    </row>
    <row r="6" spans="2:13" ht="15.75" customHeight="1" x14ac:dyDescent="0.2">
      <c r="B6" s="2"/>
      <c r="C6" s="2"/>
      <c r="E6" s="3">
        <v>0</v>
      </c>
      <c r="F6" s="3">
        <v>1</v>
      </c>
      <c r="G6" s="3">
        <f>F6+1</f>
        <v>2</v>
      </c>
      <c r="H6" s="3">
        <f t="shared" ref="H6:J6" si="0">G6+1</f>
        <v>3</v>
      </c>
      <c r="I6" s="3">
        <f t="shared" si="0"/>
        <v>4</v>
      </c>
      <c r="J6" s="3">
        <f t="shared" si="0"/>
        <v>5</v>
      </c>
    </row>
    <row r="7" spans="2:13" x14ac:dyDescent="0.2">
      <c r="B7" s="2" t="s">
        <v>277</v>
      </c>
      <c r="K7" s="73"/>
    </row>
    <row r="8" spans="2:13" x14ac:dyDescent="0.2">
      <c r="B8" s="2"/>
      <c r="K8" s="73"/>
    </row>
    <row r="9" spans="2:13" x14ac:dyDescent="0.2">
      <c r="B9" s="2"/>
      <c r="C9" s="1" t="s">
        <v>229</v>
      </c>
      <c r="F9" s="5">
        <f>F108</f>
        <v>7.7924700000000007</v>
      </c>
      <c r="G9" s="5">
        <f>G108</f>
        <v>6.2849400000000006</v>
      </c>
      <c r="H9" s="5">
        <f>H108</f>
        <v>4.7774100000000006</v>
      </c>
      <c r="I9" s="5">
        <f>I108</f>
        <v>3.2698800000000006</v>
      </c>
      <c r="J9" s="5">
        <f>J108</f>
        <v>1.7623500000000005</v>
      </c>
      <c r="K9" s="73"/>
    </row>
    <row r="10" spans="2:13" x14ac:dyDescent="0.2">
      <c r="B10" s="2"/>
      <c r="C10" s="1" t="s">
        <v>161</v>
      </c>
      <c r="F10" s="1">
        <f>F170</f>
        <v>3.72</v>
      </c>
      <c r="G10" s="1">
        <f>G170</f>
        <v>2.79</v>
      </c>
      <c r="H10" s="1">
        <f>H170</f>
        <v>1.8599999999999999</v>
      </c>
      <c r="I10" s="1">
        <f>I170</f>
        <v>0.92999999999999983</v>
      </c>
      <c r="J10" s="1">
        <f>J170</f>
        <v>0</v>
      </c>
      <c r="K10" s="73"/>
    </row>
    <row r="11" spans="2:13" x14ac:dyDescent="0.2">
      <c r="B11" s="2"/>
    </row>
    <row r="12" spans="2:13" x14ac:dyDescent="0.2">
      <c r="C12" s="23" t="str">
        <f>C184</f>
        <v>Scenario 1, NPV=0, at Y=1</v>
      </c>
      <c r="D12" s="23" t="s">
        <v>28</v>
      </c>
      <c r="F12" s="106">
        <f>F184+(F$9-F$10)/(1+'Key Assumptions'!$E$23)^F$6</f>
        <v>0</v>
      </c>
      <c r="G12" s="118"/>
      <c r="H12" s="118"/>
      <c r="I12" s="118"/>
      <c r="J12" s="118"/>
      <c r="L12" s="1" t="s">
        <v>271</v>
      </c>
    </row>
    <row r="13" spans="2:13" x14ac:dyDescent="0.2">
      <c r="C13" s="23" t="str">
        <f>C185</f>
        <v>Scenario 2, NPV=0, at Y=2</v>
      </c>
      <c r="D13" s="23" t="s">
        <v>28</v>
      </c>
      <c r="F13" s="118">
        <f>F185+(F$9-F$10)/(1+'Key Assumptions'!$E$23)^F$6</f>
        <v>-0.14685284712793356</v>
      </c>
      <c r="G13" s="106">
        <f>G185+(G$9-G$10)/(1+'Key Assumptions'!$E$23)^G$6</f>
        <v>0</v>
      </c>
      <c r="H13" s="118"/>
      <c r="I13" s="118"/>
      <c r="J13" s="118"/>
    </row>
    <row r="14" spans="2:13" x14ac:dyDescent="0.2">
      <c r="C14" s="23" t="str">
        <f>C186</f>
        <v>Scenario 3, NPV=0, at Y=3</v>
      </c>
      <c r="D14" s="23" t="s">
        <v>28</v>
      </c>
      <c r="F14" s="118">
        <f>F186+(F$9-F$10)/(1+'Key Assumptions'!$E$23)^F$6</f>
        <v>-0.2786682157331879</v>
      </c>
      <c r="G14" s="118">
        <f>G186+(G$9-G$10)/(1+'Key Assumptions'!$E$23)^G$6</f>
        <v>-0.24984251873715602</v>
      </c>
      <c r="H14" s="106">
        <f>H186+(H$9-H$10)/(1+'Key Assumptions'!$E$23)^H$6</f>
        <v>0</v>
      </c>
      <c r="I14" s="118"/>
      <c r="J14" s="118"/>
    </row>
    <row r="15" spans="2:13" x14ac:dyDescent="0.2">
      <c r="C15" s="23" t="str">
        <f>C187</f>
        <v>Scenario 4, NPV=0, at Y=4</v>
      </c>
      <c r="D15" s="23" t="s">
        <v>28</v>
      </c>
      <c r="F15" s="118">
        <f>F187+(F$9-F$10)/(1+'Key Assumptions'!$E$23)^F$6</f>
        <v>-0.39689394304387493</v>
      </c>
      <c r="G15" s="118">
        <f>G187+(G$9-G$10)/(1+'Key Assumptions'!$E$23)^G$6</f>
        <v>-0.47392726548084241</v>
      </c>
      <c r="H15" s="118">
        <f>H187+(H$9-H$10)/(1+'Key Assumptions'!$E$23)^H$6</f>
        <v>-0.31887064698913559</v>
      </c>
      <c r="I15" s="106">
        <f>I187+(I$9-I$10)/(1+'Key Assumptions'!$E$23)^I$6</f>
        <v>0</v>
      </c>
      <c r="J15" s="118"/>
    </row>
    <row r="16" spans="2:13" x14ac:dyDescent="0.2">
      <c r="C16" s="23" t="str">
        <f>C188</f>
        <v>Scenario 5, NPV=0, at Y=5</v>
      </c>
      <c r="D16" s="23" t="s">
        <v>28</v>
      </c>
      <c r="F16" s="118">
        <f>F188+(F$9-F$10)/(1+'Key Assumptions'!$E$23)^F$6</f>
        <v>-0.50284932252330616</v>
      </c>
      <c r="G16" s="118">
        <f>G188+(G$9-G$10)/(1+'Key Assumptions'!$E$23)^G$6</f>
        <v>-0.67475482574938894</v>
      </c>
      <c r="H16" s="118">
        <f>H188+(H$9-H$10)/(1+'Key Assumptions'!$E$23)^H$6</f>
        <v>-0.60464651976341566</v>
      </c>
      <c r="I16" s="118">
        <f>I188+(I$9-I$10)/(1+'Key Assumptions'!$E$23)^I$6</f>
        <v>-0.36183837853255119</v>
      </c>
      <c r="J16" s="106">
        <f>J188+(J$9-J$10)/(1+'Key Assumptions'!$E$23)^J$6</f>
        <v>4.5519144009631418E-15</v>
      </c>
    </row>
    <row r="17" spans="2:12" x14ac:dyDescent="0.2">
      <c r="I17" s="73"/>
      <c r="J17" s="73"/>
    </row>
    <row r="18" spans="2:12" x14ac:dyDescent="0.2">
      <c r="I18" s="73"/>
      <c r="J18" s="73"/>
    </row>
    <row r="19" spans="2:12" x14ac:dyDescent="0.2">
      <c r="I19" s="73"/>
      <c r="J19" s="73"/>
    </row>
    <row r="20" spans="2:12" x14ac:dyDescent="0.2">
      <c r="C20" s="33"/>
      <c r="D20" s="33"/>
      <c r="F20" s="73"/>
      <c r="G20" s="73"/>
      <c r="H20" s="73"/>
      <c r="I20" s="73"/>
      <c r="J20" s="73"/>
    </row>
    <row r="21" spans="2:12" x14ac:dyDescent="0.2">
      <c r="B21" s="2" t="s">
        <v>180</v>
      </c>
      <c r="F21" s="218" t="s">
        <v>152</v>
      </c>
      <c r="G21" s="218"/>
      <c r="H21" s="218"/>
      <c r="I21" s="218"/>
      <c r="J21" s="218"/>
    </row>
    <row r="22" spans="2:12" x14ac:dyDescent="0.2">
      <c r="F22" s="83" t="s">
        <v>153</v>
      </c>
      <c r="G22" s="83" t="s">
        <v>154</v>
      </c>
      <c r="H22" s="83" t="s">
        <v>155</v>
      </c>
      <c r="I22" s="83" t="s">
        <v>156</v>
      </c>
      <c r="J22" s="83" t="s">
        <v>157</v>
      </c>
    </row>
    <row r="23" spans="2:12" x14ac:dyDescent="0.2">
      <c r="C23" s="23" t="str">
        <f>C12</f>
        <v>Scenario 1, NPV=0, at Y=1</v>
      </c>
      <c r="D23" s="23" t="s">
        <v>28</v>
      </c>
      <c r="E23" s="23"/>
      <c r="F23" s="140">
        <f>F66</f>
        <v>12.196107500000002</v>
      </c>
      <c r="G23" s="85"/>
      <c r="H23" s="85"/>
      <c r="I23" s="85"/>
      <c r="J23" s="85"/>
      <c r="L23" s="1" t="s">
        <v>272</v>
      </c>
    </row>
    <row r="24" spans="2:12" x14ac:dyDescent="0.2">
      <c r="C24" s="23" t="str">
        <f t="shared" ref="C24:C27" si="1">C13</f>
        <v>Scenario 2, NPV=0, at Y=2</v>
      </c>
      <c r="D24" s="23" t="s">
        <v>28</v>
      </c>
      <c r="E24" s="23"/>
      <c r="F24" s="85">
        <f>F67</f>
        <v>11.97674605960265</v>
      </c>
      <c r="G24" s="140">
        <f>AVERAGE(F67:G67)</f>
        <v>12.395932171688742</v>
      </c>
      <c r="H24" s="85"/>
      <c r="I24" s="85"/>
      <c r="J24" s="85"/>
    </row>
    <row r="25" spans="2:12" x14ac:dyDescent="0.2">
      <c r="C25" s="23" t="str">
        <f t="shared" si="1"/>
        <v>Scenario 3, NPV=0, at Y=3</v>
      </c>
      <c r="D25" s="23" t="s">
        <v>28</v>
      </c>
      <c r="E25" s="23"/>
      <c r="F25" s="85">
        <f>F68</f>
        <v>11.779846852748552</v>
      </c>
      <c r="G25" s="85">
        <f>AVERAGE(F68:G68)</f>
        <v>12.19214149259475</v>
      </c>
      <c r="H25" s="140">
        <f>AVERAGE(F68:H68)</f>
        <v>12.623676548967106</v>
      </c>
      <c r="I25" s="85"/>
      <c r="J25" s="85"/>
    </row>
    <row r="26" spans="2:12" x14ac:dyDescent="0.2">
      <c r="C26" s="23" t="str">
        <f t="shared" si="1"/>
        <v>Scenario 4, NPV=0, at Y=4</v>
      </c>
      <c r="D26" s="23" t="s">
        <v>28</v>
      </c>
      <c r="E26" s="23"/>
      <c r="F26" s="85">
        <f>F69</f>
        <v>11.603247172578213</v>
      </c>
      <c r="G26" s="85">
        <f>AVERAGE(F69:G69)</f>
        <v>12.009360823618451</v>
      </c>
      <c r="H26" s="85">
        <f>AVERAGE(F69:H69)</f>
        <v>12.434426445040566</v>
      </c>
      <c r="I26" s="140">
        <f>AVERAGE(F69:I69)</f>
        <v>12.879439015289609</v>
      </c>
      <c r="J26" s="85"/>
    </row>
    <row r="27" spans="2:12" x14ac:dyDescent="0.2">
      <c r="C27" s="23" t="str">
        <f t="shared" si="1"/>
        <v>Scenario 5, NPV=0, at Y=5</v>
      </c>
      <c r="D27" s="23" t="s">
        <v>28</v>
      </c>
      <c r="E27" s="23"/>
      <c r="F27" s="85">
        <f>F70</f>
        <v>11.444976324480812</v>
      </c>
      <c r="G27" s="85">
        <f>AVERAGE(F70:G70)</f>
        <v>11.845550495837639</v>
      </c>
      <c r="H27" s="85">
        <f>AVERAGE(F70:H70)</f>
        <v>12.264818128524453</v>
      </c>
      <c r="I27" s="85">
        <f>AVERAGE(F70:I70)</f>
        <v>12.703760629261078</v>
      </c>
      <c r="J27" s="140">
        <f>AVERAGE(F70:J70)</f>
        <v>13.163414363543646</v>
      </c>
    </row>
    <row r="30" spans="2:12" x14ac:dyDescent="0.2">
      <c r="B30" s="2" t="s">
        <v>222</v>
      </c>
      <c r="C30" s="69"/>
      <c r="D30" s="69"/>
      <c r="E30" s="69"/>
      <c r="F30" s="69"/>
      <c r="G30" s="69"/>
      <c r="H30" s="69"/>
      <c r="I30" s="69"/>
    </row>
    <row r="31" spans="2:12" x14ac:dyDescent="0.2">
      <c r="C31" s="23" t="str">
        <f>C23</f>
        <v>Scenario 1, NPV=0, at Y=1</v>
      </c>
      <c r="D31" s="23" t="s">
        <v>213</v>
      </c>
      <c r="E31" s="78"/>
      <c r="F31" s="96">
        <f>F23/('Key Assumptions'!$E$28*'Key Assumptions'!$E$31)*10^5</f>
        <v>201.12314478891824</v>
      </c>
      <c r="G31" s="120">
        <f>G23/('Key Assumptions'!$E$28*'Key Assumptions'!$E$31)*10^5</f>
        <v>0</v>
      </c>
      <c r="H31" s="120">
        <f>H23/('Key Assumptions'!$E$28*'Key Assumptions'!$E$31)*10^5</f>
        <v>0</v>
      </c>
      <c r="I31" s="120">
        <f>I23/('Key Assumptions'!$E$28*'Key Assumptions'!$E$31)*10^5</f>
        <v>0</v>
      </c>
      <c r="J31" s="120">
        <f>J23/('Key Assumptions'!$E$28*'Key Assumptions'!$E$31)*10^5</f>
        <v>0</v>
      </c>
      <c r="L31" s="1" t="s">
        <v>264</v>
      </c>
    </row>
    <row r="32" spans="2:12" x14ac:dyDescent="0.2">
      <c r="C32" s="23" t="str">
        <f t="shared" ref="C32:C35" si="2">C24</f>
        <v>Scenario 2, NPV=0, at Y=2</v>
      </c>
      <c r="D32" s="23" t="s">
        <v>213</v>
      </c>
      <c r="E32" s="78"/>
      <c r="F32" s="120">
        <f>F24/('Key Assumptions'!$E$28*'Key Assumptions'!$E$31)*10^5</f>
        <v>197.50570678764265</v>
      </c>
      <c r="G32" s="96">
        <f>G24/('Key Assumptions'!$E$28*'Key Assumptions'!$E$31)*10^5</f>
        <v>204.41840652521012</v>
      </c>
      <c r="H32" s="120">
        <f>H24/('Key Assumptions'!$E$28*'Key Assumptions'!$E$31)*10^5</f>
        <v>0</v>
      </c>
      <c r="I32" s="120">
        <f>I24/('Key Assumptions'!$E$28*'Key Assumptions'!$E$31)*10^5</f>
        <v>0</v>
      </c>
      <c r="J32" s="120">
        <f>J24/('Key Assumptions'!$E$28*'Key Assumptions'!$E$31)*10^5</f>
        <v>0</v>
      </c>
    </row>
    <row r="33" spans="2:12" x14ac:dyDescent="0.2">
      <c r="C33" s="23" t="str">
        <f t="shared" si="2"/>
        <v>Scenario 3, NPV=0, at Y=3</v>
      </c>
      <c r="D33" s="23" t="s">
        <v>213</v>
      </c>
      <c r="E33" s="78"/>
      <c r="F33" s="120">
        <f>F25/('Key Assumptions'!$E$28*'Key Assumptions'!$E$31)*10^5</f>
        <v>194.25868820495631</v>
      </c>
      <c r="G33" s="120">
        <f>G25/('Key Assumptions'!$E$28*'Key Assumptions'!$E$31)*10^5</f>
        <v>201.05774229212977</v>
      </c>
      <c r="H33" s="96">
        <f>H25/('Key Assumptions'!$E$28*'Key Assumptions'!$E$31)*10^5</f>
        <v>208.17408557003802</v>
      </c>
      <c r="I33" s="120">
        <f>I25/('Key Assumptions'!$E$28*'Key Assumptions'!$E$31)*10^5</f>
        <v>0</v>
      </c>
      <c r="J33" s="120">
        <f>J25/('Key Assumptions'!$E$28*'Key Assumptions'!$E$31)*10^5</f>
        <v>0</v>
      </c>
    </row>
    <row r="34" spans="2:12" x14ac:dyDescent="0.2">
      <c r="C34" s="23" t="str">
        <f t="shared" si="2"/>
        <v>Scenario 4, NPV=0, at Y=4</v>
      </c>
      <c r="D34" s="23" t="s">
        <v>213</v>
      </c>
      <c r="E34" s="78"/>
      <c r="F34" s="120">
        <f>F26/('Key Assumptions'!$E$28*'Key Assumptions'!$E$31)*10^5</f>
        <v>191.34642434990457</v>
      </c>
      <c r="G34" s="120">
        <f>G26/('Key Assumptions'!$E$28*'Key Assumptions'!$E$31)*10^5</f>
        <v>198.04354920215124</v>
      </c>
      <c r="H34" s="120">
        <f>H26/('Key Assumptions'!$E$28*'Key Assumptions'!$E$31)*10^5</f>
        <v>205.05320654750275</v>
      </c>
      <c r="I34" s="96">
        <f>I26/('Key Assumptions'!$E$28*'Key Assumptions'!$E$31)*10^5</f>
        <v>212.39180434184712</v>
      </c>
      <c r="J34" s="120">
        <f>J26/('Key Assumptions'!$E$28*'Key Assumptions'!$E$31)*10^5</f>
        <v>0</v>
      </c>
    </row>
    <row r="35" spans="2:12" x14ac:dyDescent="0.2">
      <c r="C35" s="23" t="str">
        <f t="shared" si="2"/>
        <v>Scenario 5, NPV=0, at Y=5</v>
      </c>
      <c r="D35" s="23" t="s">
        <v>213</v>
      </c>
      <c r="E35" s="78"/>
      <c r="F35" s="120">
        <f>F27/('Key Assumptions'!$E$28*'Key Assumptions'!$E$31)*10^5</f>
        <v>188.73641696043555</v>
      </c>
      <c r="G35" s="120">
        <f>G27/('Key Assumptions'!$E$28*'Key Assumptions'!$E$31)*10^5</f>
        <v>195.3421915540508</v>
      </c>
      <c r="H35" s="120">
        <f>H27/('Key Assumptions'!$E$28*'Key Assumptions'!$E$31)*10^5</f>
        <v>202.2562356287014</v>
      </c>
      <c r="I35" s="120">
        <f>I27/('Key Assumptions'!$E$28*'Key Assumptions'!$E$31)*10^5</f>
        <v>209.49473333214181</v>
      </c>
      <c r="J35" s="96">
        <f>J27/('Key Assumptions'!$E$28*'Key Assumptions'!$E$31)*10^5</f>
        <v>217.0747751244005</v>
      </c>
    </row>
    <row r="37" spans="2:12" x14ac:dyDescent="0.2">
      <c r="B37" s="2" t="s">
        <v>244</v>
      </c>
    </row>
    <row r="38" spans="2:12" x14ac:dyDescent="0.2">
      <c r="C38" s="23" t="s">
        <v>147</v>
      </c>
      <c r="D38" s="23" t="s">
        <v>245</v>
      </c>
      <c r="E38" s="78"/>
      <c r="F38" s="96">
        <f>(F23/('Key Assumptions'!$E$31*(('Key Assumptions'!$E$33*'Key Assumptions'!$E$35)+'Key Assumptions'!$E$32))*10^5)</f>
        <v>147.65263317191287</v>
      </c>
      <c r="G38" s="120">
        <f>(G23/('Key Assumptions'!$E$31*(('Key Assumptions'!$E$33*'Key Assumptions'!$E$35)+'Key Assumptions'!$E$32))*10^5)</f>
        <v>0</v>
      </c>
      <c r="H38" s="120">
        <f>(H23/('Key Assumptions'!$E$31*(('Key Assumptions'!$E$33*'Key Assumptions'!$E$35)+'Key Assumptions'!$E$32))*10^5)</f>
        <v>0</v>
      </c>
      <c r="I38" s="120">
        <f>(I23/('Key Assumptions'!$E$31*(('Key Assumptions'!$E$33*'Key Assumptions'!$E$35)+'Key Assumptions'!$E$32))*10^5)</f>
        <v>0</v>
      </c>
      <c r="J38" s="120">
        <f>(J23/('Key Assumptions'!$E$31*(('Key Assumptions'!$E$33*'Key Assumptions'!$E$35)+'Key Assumptions'!$E$32))*10^5)</f>
        <v>0</v>
      </c>
      <c r="L38" s="1" t="s">
        <v>265</v>
      </c>
    </row>
    <row r="39" spans="2:12" x14ac:dyDescent="0.2">
      <c r="C39" s="23" t="s">
        <v>148</v>
      </c>
      <c r="D39" s="23" t="s">
        <v>245</v>
      </c>
      <c r="E39" s="78"/>
      <c r="F39" s="120">
        <f>(F24/('Key Assumptions'!$E$31*(('Key Assumptions'!$E$33*'Key Assumptions'!$E$35)+'Key Assumptions'!$E$32))*10^5)</f>
        <v>144.99692566104903</v>
      </c>
      <c r="G39" s="96">
        <f>(G24/('Key Assumptions'!$E$31*(('Key Assumptions'!$E$33*'Key Assumptions'!$E$35)+'Key Assumptions'!$E$32))*10^5)</f>
        <v>150.07181805918572</v>
      </c>
      <c r="H39" s="120">
        <f>(H24/('Key Assumptions'!$E$31*(('Key Assumptions'!$E$33*'Key Assumptions'!$E$35)+'Key Assumptions'!$E$32))*10^5)</f>
        <v>0</v>
      </c>
      <c r="I39" s="120">
        <f>(I24/('Key Assumptions'!$E$31*(('Key Assumptions'!$E$33*'Key Assumptions'!$E$35)+'Key Assumptions'!$E$32))*10^5)</f>
        <v>0</v>
      </c>
      <c r="J39" s="120">
        <f>(J24/('Key Assumptions'!$E$31*(('Key Assumptions'!$E$33*'Key Assumptions'!$E$35)+'Key Assumptions'!$E$32))*10^5)</f>
        <v>0</v>
      </c>
    </row>
    <row r="40" spans="2:12" x14ac:dyDescent="0.2">
      <c r="C40" s="23" t="s">
        <v>149</v>
      </c>
      <c r="D40" s="23" t="s">
        <v>245</v>
      </c>
      <c r="E40" s="78"/>
      <c r="F40" s="120">
        <f>(F25/('Key Assumptions'!$E$31*(('Key Assumptions'!$E$33*'Key Assumptions'!$E$35)+'Key Assumptions'!$E$32))*10^5)</f>
        <v>142.61315802359022</v>
      </c>
      <c r="G40" s="120">
        <f>(G25/('Key Assumptions'!$E$31*(('Key Assumptions'!$E$33*'Key Assumptions'!$E$35)+'Key Assumptions'!$E$32))*10^5)</f>
        <v>147.60461855441585</v>
      </c>
      <c r="H40" s="96">
        <f>(H25/('Key Assumptions'!$E$31*(('Key Assumptions'!$E$33*'Key Assumptions'!$E$35)+'Key Assumptions'!$E$32))*10^5)</f>
        <v>152.82901391001337</v>
      </c>
      <c r="I40" s="120">
        <f>(I25/('Key Assumptions'!$E$31*(('Key Assumptions'!$E$33*'Key Assumptions'!$E$35)+'Key Assumptions'!$E$32))*10^5)</f>
        <v>0</v>
      </c>
      <c r="J40" s="120">
        <f>(J25/('Key Assumptions'!$E$31*(('Key Assumptions'!$E$33*'Key Assumptions'!$E$35)+'Key Assumptions'!$E$32))*10^5)</f>
        <v>0</v>
      </c>
    </row>
    <row r="41" spans="2:12" x14ac:dyDescent="0.2">
      <c r="C41" s="23" t="s">
        <v>150</v>
      </c>
      <c r="D41" s="23" t="s">
        <v>245</v>
      </c>
      <c r="E41" s="78"/>
      <c r="F41" s="120">
        <f>(F26/('Key Assumptions'!$E$31*(('Key Assumptions'!$E$33*'Key Assumptions'!$E$35)+'Key Assumptions'!$E$32))*10^5)</f>
        <v>140.47514736777498</v>
      </c>
      <c r="G41" s="120">
        <f>(G26/('Key Assumptions'!$E$31*(('Key Assumptions'!$E$33*'Key Assumptions'!$E$35)+'Key Assumptions'!$E$32))*10^5)</f>
        <v>145.39177752564711</v>
      </c>
      <c r="H41" s="120">
        <f>(H26/('Key Assumptions'!$E$31*(('Key Assumptions'!$E$33*'Key Assumptions'!$E$35)+'Key Assumptions'!$E$32))*10^5)</f>
        <v>150.53785042421993</v>
      </c>
      <c r="I41" s="96">
        <f>(I26/('Key Assumptions'!$E$31*(('Key Assumptions'!$E$33*'Key Assumptions'!$E$35)+'Key Assumptions'!$E$32))*10^5)</f>
        <v>155.92541180738027</v>
      </c>
      <c r="J41" s="120">
        <f>(J26/('Key Assumptions'!$E$31*(('Key Assumptions'!$E$33*'Key Assumptions'!$E$35)+'Key Assumptions'!$E$32))*10^5)</f>
        <v>0</v>
      </c>
    </row>
    <row r="42" spans="2:12" x14ac:dyDescent="0.2">
      <c r="C42" s="23" t="s">
        <v>151</v>
      </c>
      <c r="D42" s="23" t="s">
        <v>245</v>
      </c>
      <c r="E42" s="78"/>
      <c r="F42" s="120">
        <f>(F27/('Key Assumptions'!$E$31*(('Key Assumptions'!$E$33*'Key Assumptions'!$E$35)+'Key Assumptions'!$E$32))*10^5)</f>
        <v>138.55903540533672</v>
      </c>
      <c r="G42" s="120">
        <f>(G27/('Key Assumptions'!$E$31*(('Key Assumptions'!$E$33*'Key Assumptions'!$E$35)+'Key Assumptions'!$E$32))*10^5)</f>
        <v>143.40860164452346</v>
      </c>
      <c r="H42" s="120">
        <f>(H27/('Key Assumptions'!$E$31*(('Key Assumptions'!$E$33*'Key Assumptions'!$E$35)+'Key Assumptions'!$E$32))*10^5)</f>
        <v>148.4844809748723</v>
      </c>
      <c r="I42" s="120">
        <f>(I27/('Key Assumptions'!$E$31*(('Key Assumptions'!$E$33*'Key Assumptions'!$E$35)+'Key Assumptions'!$E$32))*10^5)</f>
        <v>153.79855483366921</v>
      </c>
      <c r="J42" s="96">
        <f>(J27/('Key Assumptions'!$E$31*(('Key Assumptions'!$E$33*'Key Assumptions'!$E$35)+'Key Assumptions'!$E$32))*10^5)</f>
        <v>159.36337001868822</v>
      </c>
    </row>
    <row r="44" spans="2:12" x14ac:dyDescent="0.2">
      <c r="B44" s="2" t="s">
        <v>246</v>
      </c>
    </row>
    <row r="45" spans="2:12" x14ac:dyDescent="0.2">
      <c r="C45" s="23" t="s">
        <v>147</v>
      </c>
      <c r="D45" s="23" t="s">
        <v>245</v>
      </c>
      <c r="E45" s="78"/>
      <c r="F45" s="96">
        <f>F38*'Key Assumptions'!$E$35</f>
        <v>177.18315980629544</v>
      </c>
      <c r="G45" s="120">
        <f>G38*'Key Assumptions'!$E$35</f>
        <v>0</v>
      </c>
      <c r="H45" s="120">
        <f>H38*'Key Assumptions'!$E$35</f>
        <v>0</v>
      </c>
      <c r="I45" s="120">
        <f>I38*'Key Assumptions'!$E$35</f>
        <v>0</v>
      </c>
      <c r="J45" s="120">
        <f>J38*'Key Assumptions'!$E$35</f>
        <v>0</v>
      </c>
      <c r="L45" s="1" t="s">
        <v>266</v>
      </c>
    </row>
    <row r="46" spans="2:12" x14ac:dyDescent="0.2">
      <c r="C46" s="23" t="s">
        <v>148</v>
      </c>
      <c r="D46" s="23" t="s">
        <v>245</v>
      </c>
      <c r="E46" s="78"/>
      <c r="F46" s="120">
        <f>F39*'Key Assumptions'!$E$35</f>
        <v>173.99631079325883</v>
      </c>
      <c r="G46" s="96">
        <f>G39*'Key Assumptions'!$E$35</f>
        <v>180.08618167102284</v>
      </c>
      <c r="H46" s="120">
        <f>H39*'Key Assumptions'!$E$35</f>
        <v>0</v>
      </c>
      <c r="I46" s="120">
        <f>I39*'Key Assumptions'!$E$35</f>
        <v>0</v>
      </c>
      <c r="J46" s="120">
        <f>J39*'Key Assumptions'!$E$35</f>
        <v>0</v>
      </c>
    </row>
    <row r="47" spans="2:12" x14ac:dyDescent="0.2">
      <c r="C47" s="23" t="s">
        <v>149</v>
      </c>
      <c r="D47" s="23" t="s">
        <v>245</v>
      </c>
      <c r="E47" s="78"/>
      <c r="F47" s="120">
        <f>F40*'Key Assumptions'!$E$35</f>
        <v>171.13578962830826</v>
      </c>
      <c r="G47" s="120">
        <f>G40*'Key Assumptions'!$E$35</f>
        <v>177.125542265299</v>
      </c>
      <c r="H47" s="96">
        <f>H40*'Key Assumptions'!$E$35</f>
        <v>183.39481669201604</v>
      </c>
      <c r="I47" s="120">
        <f>I40*'Key Assumptions'!$E$35</f>
        <v>0</v>
      </c>
      <c r="J47" s="120">
        <f>J40*'Key Assumptions'!$E$35</f>
        <v>0</v>
      </c>
    </row>
    <row r="48" spans="2:12" x14ac:dyDescent="0.2">
      <c r="C48" s="23" t="s">
        <v>150</v>
      </c>
      <c r="D48" s="23" t="s">
        <v>245</v>
      </c>
      <c r="E48" s="78"/>
      <c r="F48" s="120">
        <f>F41*'Key Assumptions'!$E$35</f>
        <v>168.57017684132998</v>
      </c>
      <c r="G48" s="120">
        <f>G41*'Key Assumptions'!$E$35</f>
        <v>174.47013303077654</v>
      </c>
      <c r="H48" s="120">
        <f>H41*'Key Assumptions'!$E$35</f>
        <v>180.64542050906391</v>
      </c>
      <c r="I48" s="96">
        <f>I41*'Key Assumptions'!$E$35</f>
        <v>187.11049416885632</v>
      </c>
      <c r="J48" s="120">
        <f>J41*'Key Assumptions'!$E$35</f>
        <v>0</v>
      </c>
    </row>
    <row r="49" spans="2:12" x14ac:dyDescent="0.2">
      <c r="C49" s="23" t="s">
        <v>151</v>
      </c>
      <c r="D49" s="23" t="s">
        <v>245</v>
      </c>
      <c r="E49" s="78"/>
      <c r="F49" s="120">
        <f>F42*'Key Assumptions'!$E$35</f>
        <v>166.27084248640406</v>
      </c>
      <c r="G49" s="120">
        <f>G42*'Key Assumptions'!$E$35</f>
        <v>172.09032197342813</v>
      </c>
      <c r="H49" s="120">
        <f>H42*'Key Assumptions'!$E$35</f>
        <v>178.18137716984674</v>
      </c>
      <c r="I49" s="120">
        <f>I42*'Key Assumptions'!$E$35</f>
        <v>184.55826580040306</v>
      </c>
      <c r="J49" s="96">
        <f>J42*'Key Assumptions'!$E$35</f>
        <v>191.23604402242586</v>
      </c>
    </row>
    <row r="50" spans="2:12" ht="15.75" customHeight="1" x14ac:dyDescent="0.2">
      <c r="D50" s="4"/>
      <c r="K50" s="114"/>
    </row>
    <row r="51" spans="2:12" s="180" customFormat="1" ht="15.75" customHeight="1" x14ac:dyDescent="0.25">
      <c r="B51" s="181" t="s">
        <v>317</v>
      </c>
      <c r="C51" s="181"/>
      <c r="D51" s="194"/>
      <c r="E51" s="181"/>
      <c r="F51" s="181"/>
      <c r="G51" s="181"/>
      <c r="H51" s="181"/>
      <c r="I51" s="181"/>
      <c r="J51" s="181"/>
      <c r="K51" s="181"/>
    </row>
    <row r="52" spans="2:12" ht="15.75" customHeight="1" x14ac:dyDescent="0.2">
      <c r="B52" s="2" t="s">
        <v>140</v>
      </c>
    </row>
    <row r="53" spans="2:12" ht="15.75" customHeight="1" x14ac:dyDescent="0.2">
      <c r="C53" s="23" t="s">
        <v>21</v>
      </c>
      <c r="D53" s="23" t="s">
        <v>28</v>
      </c>
      <c r="E53" s="66">
        <f>'Capital cost estimates'!D10</f>
        <v>9</v>
      </c>
      <c r="L53" s="1" t="s">
        <v>254</v>
      </c>
    </row>
    <row r="54" spans="2:12" ht="15.75" customHeight="1" x14ac:dyDescent="0.2">
      <c r="C54" s="23" t="s">
        <v>22</v>
      </c>
      <c r="D54" s="23" t="s">
        <v>28</v>
      </c>
      <c r="E54" s="66">
        <f>'Capital cost estimates'!D22</f>
        <v>0.15000000000000002</v>
      </c>
    </row>
    <row r="55" spans="2:12" ht="15.75" customHeight="1" x14ac:dyDescent="0.2">
      <c r="C55" s="23" t="s">
        <v>23</v>
      </c>
      <c r="D55" s="23" t="s">
        <v>28</v>
      </c>
      <c r="E55" s="66">
        <f>'Capital cost estimates'!D26</f>
        <v>0.15000000000000002</v>
      </c>
    </row>
    <row r="56" spans="2:12" ht="15.75" customHeight="1" x14ac:dyDescent="0.2">
      <c r="C56" s="23" t="s">
        <v>306</v>
      </c>
      <c r="D56" s="23" t="s">
        <v>28</v>
      </c>
      <c r="E56" s="66">
        <v>0</v>
      </c>
    </row>
    <row r="57" spans="2:12" ht="15.75" customHeight="1" x14ac:dyDescent="0.2">
      <c r="C57" s="23" t="s">
        <v>24</v>
      </c>
      <c r="D57" s="23" t="s">
        <v>28</v>
      </c>
      <c r="E57" s="67">
        <f>SUM(E53:E55)</f>
        <v>9.3000000000000007</v>
      </c>
    </row>
    <row r="58" spans="2:12" ht="15.75" customHeight="1" x14ac:dyDescent="0.2"/>
    <row r="59" spans="2:12" ht="15.75" customHeight="1" x14ac:dyDescent="0.2">
      <c r="B59" s="2" t="s">
        <v>177</v>
      </c>
      <c r="L59" s="1" t="s">
        <v>254</v>
      </c>
    </row>
    <row r="60" spans="2:12" ht="15.75" customHeight="1" x14ac:dyDescent="0.2">
      <c r="C60" s="23" t="s">
        <v>25</v>
      </c>
      <c r="D60" s="23" t="s">
        <v>28</v>
      </c>
      <c r="E60" s="66">
        <f>'Capital cost estimates'!D31</f>
        <v>0.5</v>
      </c>
    </row>
    <row r="61" spans="2:12" ht="15.75" customHeight="1" x14ac:dyDescent="0.2">
      <c r="C61" s="23" t="s">
        <v>182</v>
      </c>
      <c r="D61" s="23" t="s">
        <v>28</v>
      </c>
      <c r="E61" s="66">
        <f>'Capital cost estimates'!D32</f>
        <v>0.1</v>
      </c>
    </row>
    <row r="62" spans="2:12" ht="15.75" customHeight="1" x14ac:dyDescent="0.2">
      <c r="C62" s="23" t="s">
        <v>26</v>
      </c>
      <c r="D62" s="23" t="s">
        <v>28</v>
      </c>
      <c r="E62" s="66">
        <f>'Capital cost estimates'!D33</f>
        <v>0.1</v>
      </c>
    </row>
    <row r="63" spans="2:12" ht="15.75" customHeight="1" x14ac:dyDescent="0.2">
      <c r="C63" s="61" t="s">
        <v>24</v>
      </c>
      <c r="D63" s="61" t="s">
        <v>28</v>
      </c>
      <c r="E63" s="68">
        <f>'Capital cost estimates'!D34</f>
        <v>0.7</v>
      </c>
      <c r="I63" s="1" t="s">
        <v>113</v>
      </c>
    </row>
    <row r="64" spans="2:12" ht="15.75" customHeight="1" x14ac:dyDescent="0.2">
      <c r="B64" s="3" t="s">
        <v>181</v>
      </c>
    </row>
    <row r="65" spans="2:12" x14ac:dyDescent="0.2">
      <c r="B65" s="2" t="s">
        <v>115</v>
      </c>
    </row>
    <row r="66" spans="2:12" x14ac:dyDescent="0.2">
      <c r="C66" s="23" t="str">
        <f>'Key Assumptions'!D40</f>
        <v>Scenario 1, NPV=0, at Y=1</v>
      </c>
      <c r="D66" s="23" t="s">
        <v>28</v>
      </c>
      <c r="E66" s="23"/>
      <c r="F66" s="66">
        <f>F$95*(1+'Key Assumptions'!$E40)</f>
        <v>12.196107500000002</v>
      </c>
      <c r="G66" s="66">
        <f>G$95*(1+'Key Assumptions'!$E40)</f>
        <v>13.049835025</v>
      </c>
      <c r="H66" s="66">
        <f>H$95*(1+'Key Assumptions'!$E40)</f>
        <v>13.963323476750002</v>
      </c>
      <c r="I66" s="66">
        <f>I$95*(1+'Key Assumptions'!$E40)</f>
        <v>14.940756120122506</v>
      </c>
      <c r="J66" s="66">
        <f>J$95*(1+'Key Assumptions'!$E40)</f>
        <v>15.986609048531079</v>
      </c>
      <c r="K66" s="73"/>
      <c r="L66" s="1" t="s">
        <v>267</v>
      </c>
    </row>
    <row r="67" spans="2:12" x14ac:dyDescent="0.2">
      <c r="C67" s="23" t="str">
        <f>'Key Assumptions'!D41</f>
        <v>Scenario 2, NPV=0, at Y=2</v>
      </c>
      <c r="D67" s="23" t="s">
        <v>28</v>
      </c>
      <c r="E67" s="23"/>
      <c r="F67" s="66">
        <f>F$95*(1+'Key Assumptions'!$E41)</f>
        <v>11.97674605960265</v>
      </c>
      <c r="G67" s="66">
        <f>G$95*(1+'Key Assumptions'!$E41)</f>
        <v>12.815118283774833</v>
      </c>
      <c r="H67" s="66">
        <f>H$95*(1+'Key Assumptions'!$E41)</f>
        <v>13.712176563639074</v>
      </c>
      <c r="I67" s="66">
        <f>I$95*(1+'Key Assumptions'!$E41)</f>
        <v>14.672028923093812</v>
      </c>
      <c r="J67" s="66">
        <f>J$95*(1+'Key Assumptions'!$E41)</f>
        <v>15.699070947710377</v>
      </c>
      <c r="K67" s="73"/>
    </row>
    <row r="68" spans="2:12" x14ac:dyDescent="0.2">
      <c r="C68" s="23" t="str">
        <f>'Key Assumptions'!D42</f>
        <v>Scenario 3, NPV=0, at Y=3</v>
      </c>
      <c r="D68" s="23" t="s">
        <v>28</v>
      </c>
      <c r="E68" s="23"/>
      <c r="F68" s="66">
        <f>F$95*(1+'Key Assumptions'!$E42)</f>
        <v>11.779846852748552</v>
      </c>
      <c r="G68" s="66">
        <f>G$95*(1+'Key Assumptions'!$E42)</f>
        <v>12.604436132440949</v>
      </c>
      <c r="H68" s="66">
        <f>H$95*(1+'Key Assumptions'!$E42)</f>
        <v>13.486746661711818</v>
      </c>
      <c r="I68" s="66">
        <f>I$95*(1+'Key Assumptions'!$E42)</f>
        <v>14.430818928031648</v>
      </c>
      <c r="J68" s="66">
        <f>J$95*(1+'Key Assumptions'!$E42)</f>
        <v>15.440976252993861</v>
      </c>
      <c r="K68" s="73"/>
    </row>
    <row r="69" spans="2:12" x14ac:dyDescent="0.2">
      <c r="C69" s="23" t="str">
        <f>'Key Assumptions'!D43</f>
        <v>Scenario 4, NPV=0, at Y=4</v>
      </c>
      <c r="D69" s="23" t="s">
        <v>28</v>
      </c>
      <c r="E69" s="23"/>
      <c r="F69" s="66">
        <f>F$95*(1+'Key Assumptions'!$E43)</f>
        <v>11.603247172578213</v>
      </c>
      <c r="G69" s="66">
        <f>G$95*(1+'Key Assumptions'!$E43)</f>
        <v>12.415474474658687</v>
      </c>
      <c r="H69" s="66">
        <f>H$95*(1+'Key Assumptions'!$E43)</f>
        <v>13.284557687884796</v>
      </c>
      <c r="I69" s="66">
        <f>I$95*(1+'Key Assumptions'!$E43)</f>
        <v>14.214476726036736</v>
      </c>
      <c r="J69" s="66">
        <f>J$95*(1+'Key Assumptions'!$E43)</f>
        <v>15.209490096859305</v>
      </c>
      <c r="K69" s="73"/>
    </row>
    <row r="70" spans="2:12" x14ac:dyDescent="0.2">
      <c r="C70" s="23" t="str">
        <f>'Key Assumptions'!D44</f>
        <v>Scenario 5, NPV=0, at Y=5</v>
      </c>
      <c r="D70" s="23" t="s">
        <v>28</v>
      </c>
      <c r="E70" s="23"/>
      <c r="F70" s="66">
        <f>F$95*(1+'Key Assumptions'!$E44)</f>
        <v>11.444976324480812</v>
      </c>
      <c r="G70" s="66">
        <f>G$95*(1+'Key Assumptions'!$E44)</f>
        <v>12.246124667194467</v>
      </c>
      <c r="H70" s="66">
        <f>H$95*(1+'Key Assumptions'!$E44)</f>
        <v>13.103353393898082</v>
      </c>
      <c r="I70" s="66">
        <f>I$95*(1+'Key Assumptions'!$E44)</f>
        <v>14.020588131470952</v>
      </c>
      <c r="J70" s="66">
        <f>J$95*(1+'Key Assumptions'!$E44)</f>
        <v>15.002029300673914</v>
      </c>
      <c r="K70" s="73"/>
    </row>
    <row r="74" spans="2:12" ht="15.75" customHeight="1" x14ac:dyDescent="0.2">
      <c r="B74" s="2" t="s">
        <v>172</v>
      </c>
      <c r="K74" s="73"/>
    </row>
    <row r="75" spans="2:12" ht="15.75" customHeight="1" x14ac:dyDescent="0.2">
      <c r="C75" s="23" t="s">
        <v>29</v>
      </c>
      <c r="D75" s="23" t="s">
        <v>28</v>
      </c>
      <c r="E75" s="23"/>
      <c r="F75" s="85">
        <f>'Operating cost estimates'!D9+'Operating cost estimates'!D13+'Operating cost estimates'!D47</f>
        <v>4.5144000000000002</v>
      </c>
      <c r="G75" s="85">
        <f>F75*(1+'Key Assumptions'!$E$29)</f>
        <v>4.8304080000000003</v>
      </c>
      <c r="H75" s="85">
        <f>G75*(1+'Key Assumptions'!$E$29)</f>
        <v>5.1685365600000006</v>
      </c>
      <c r="I75" s="85">
        <f>H75*(1+'Key Assumptions'!$E$29)</f>
        <v>5.5303341192000008</v>
      </c>
      <c r="J75" s="85">
        <f>I75*(1+'Key Assumptions'!$E$29)</f>
        <v>5.9174575075440012</v>
      </c>
      <c r="K75" s="73"/>
      <c r="L75" s="1" t="s">
        <v>255</v>
      </c>
    </row>
    <row r="76" spans="2:12" ht="15.75" customHeight="1" x14ac:dyDescent="0.2">
      <c r="C76" s="23" t="s">
        <v>30</v>
      </c>
      <c r="D76" s="23" t="s">
        <v>28</v>
      </c>
      <c r="E76" s="23"/>
      <c r="F76" s="85">
        <f>'Operating cost estimates'!D32</f>
        <v>0.29988000000000004</v>
      </c>
      <c r="G76" s="85">
        <f>F76*(1+'Key Assumptions'!$E$29)</f>
        <v>0.32087160000000003</v>
      </c>
      <c r="H76" s="85">
        <f>G76*(1+'Key Assumptions'!$E$29)</f>
        <v>0.34333261200000004</v>
      </c>
      <c r="I76" s="85">
        <f>H76*(1+'Key Assumptions'!$E$29)</f>
        <v>0.36736589484000004</v>
      </c>
      <c r="J76" s="85">
        <f>I76*(1+'Key Assumptions'!$E$29)</f>
        <v>0.39308150747880005</v>
      </c>
      <c r="K76" s="73"/>
    </row>
    <row r="77" spans="2:12" ht="15.75" customHeight="1" x14ac:dyDescent="0.2">
      <c r="C77" s="23" t="s">
        <v>14</v>
      </c>
      <c r="D77" s="23" t="s">
        <v>28</v>
      </c>
      <c r="E77" s="23"/>
      <c r="F77" s="85">
        <f>'Operating cost estimates'!D33</f>
        <v>0</v>
      </c>
      <c r="G77" s="85">
        <f>F77*(1+'Key Assumptions'!$E$29)</f>
        <v>0</v>
      </c>
      <c r="H77" s="85">
        <f>G77*(1+'Key Assumptions'!$E$29)</f>
        <v>0</v>
      </c>
      <c r="I77" s="85">
        <f>H77*(1+'Key Assumptions'!$E$29)</f>
        <v>0</v>
      </c>
      <c r="J77" s="85">
        <f>I77*(1+'Key Assumptions'!$E$29)</f>
        <v>0</v>
      </c>
      <c r="K77" s="73"/>
    </row>
    <row r="78" spans="2:12" x14ac:dyDescent="0.2">
      <c r="C78" s="23" t="s">
        <v>31</v>
      </c>
      <c r="D78" s="23" t="s">
        <v>28</v>
      </c>
      <c r="E78" s="23"/>
      <c r="F78" s="85">
        <f>'Operating cost estimates'!D34</f>
        <v>0.36</v>
      </c>
      <c r="G78" s="85">
        <f>F78*(1+'Key Assumptions'!$E$29)</f>
        <v>0.38519999999999999</v>
      </c>
      <c r="H78" s="85">
        <f>G78*(1+'Key Assumptions'!$E$29)</f>
        <v>0.41216400000000003</v>
      </c>
      <c r="I78" s="85">
        <f>H78*(1+'Key Assumptions'!$E$29)</f>
        <v>0.44101548000000007</v>
      </c>
      <c r="J78" s="85">
        <f>I78*(1+'Key Assumptions'!$E$29)</f>
        <v>0.47188656360000009</v>
      </c>
      <c r="K78" s="73"/>
    </row>
    <row r="79" spans="2:12" x14ac:dyDescent="0.2">
      <c r="C79" s="23" t="s">
        <v>15</v>
      </c>
      <c r="D79" s="23" t="s">
        <v>28</v>
      </c>
      <c r="E79" s="23"/>
      <c r="F79" s="85">
        <f>'Operating cost estimates'!D35</f>
        <v>1.7999999999999998</v>
      </c>
      <c r="G79" s="85">
        <f>F79*(1+'Key Assumptions'!$E$29)</f>
        <v>1.9259999999999999</v>
      </c>
      <c r="H79" s="85">
        <f>G79*(1+'Key Assumptions'!$E$29)</f>
        <v>2.0608200000000001</v>
      </c>
      <c r="I79" s="85">
        <f>H79*(1+'Key Assumptions'!$E$29)</f>
        <v>2.2050774000000004</v>
      </c>
      <c r="J79" s="85">
        <f>I79*(1+'Key Assumptions'!$E$29)</f>
        <v>2.3594328180000006</v>
      </c>
      <c r="K79" s="73"/>
    </row>
    <row r="80" spans="2:12" x14ac:dyDescent="0.2">
      <c r="C80" s="23" t="s">
        <v>32</v>
      </c>
      <c r="D80" s="23" t="s">
        <v>28</v>
      </c>
      <c r="E80" s="23"/>
      <c r="F80" s="85">
        <f>'Operating cost estimates'!D40</f>
        <v>0.32400000000000001</v>
      </c>
      <c r="G80" s="85">
        <f>F80*(1+'Key Assumptions'!$E$29)</f>
        <v>0.34668000000000004</v>
      </c>
      <c r="H80" s="85">
        <f>G80*(1+'Key Assumptions'!$E$29)</f>
        <v>0.37094760000000004</v>
      </c>
      <c r="I80" s="85">
        <f>H80*(1+'Key Assumptions'!$E$29)</f>
        <v>0.39691393200000008</v>
      </c>
      <c r="J80" s="85">
        <f>I80*(1+'Key Assumptions'!$E$29)</f>
        <v>0.42469790724000012</v>
      </c>
      <c r="K80" s="73"/>
    </row>
    <row r="81" spans="2:12" x14ac:dyDescent="0.2">
      <c r="C81" s="23" t="s">
        <v>33</v>
      </c>
      <c r="D81" s="23" t="s">
        <v>28</v>
      </c>
      <c r="E81" s="23"/>
      <c r="F81" s="85">
        <f>'Operating cost estimates'!D55</f>
        <v>0.12</v>
      </c>
      <c r="G81" s="85">
        <f>F81*(1+'Key Assumptions'!$E$29)</f>
        <v>0.12840000000000001</v>
      </c>
      <c r="H81" s="85">
        <f>G81*(1+'Key Assumptions'!$E$29)</f>
        <v>0.13738800000000001</v>
      </c>
      <c r="I81" s="85">
        <f>H81*(1+'Key Assumptions'!$E$29)</f>
        <v>0.14700516000000002</v>
      </c>
      <c r="J81" s="85">
        <f>I81*(1+'Key Assumptions'!$E$29)</f>
        <v>0.15729552120000004</v>
      </c>
      <c r="K81" s="73"/>
    </row>
    <row r="82" spans="2:12" x14ac:dyDescent="0.2">
      <c r="C82" s="23" t="s">
        <v>34</v>
      </c>
      <c r="D82" s="23" t="s">
        <v>28</v>
      </c>
      <c r="E82" s="23"/>
      <c r="F82" s="85">
        <f>'Operating cost estimates'!D57</f>
        <v>0.24</v>
      </c>
      <c r="G82" s="85">
        <f>F82*(1+'Key Assumptions'!$E$29)</f>
        <v>0.25680000000000003</v>
      </c>
      <c r="H82" s="85">
        <f>G82*(1+'Key Assumptions'!$E$29)</f>
        <v>0.27477600000000002</v>
      </c>
      <c r="I82" s="85">
        <f>H82*(1+'Key Assumptions'!$E$29)</f>
        <v>0.29401032000000005</v>
      </c>
      <c r="J82" s="85">
        <f>I82*(1+'Key Assumptions'!$E$29)</f>
        <v>0.31459104240000008</v>
      </c>
      <c r="K82" s="73"/>
    </row>
    <row r="83" spans="2:12" x14ac:dyDescent="0.2">
      <c r="C83" s="61" t="s">
        <v>24</v>
      </c>
      <c r="D83" s="61" t="s">
        <v>28</v>
      </c>
      <c r="E83" s="23"/>
      <c r="F83" s="101">
        <f>SUM(F75:F82)</f>
        <v>7.6582800000000004</v>
      </c>
      <c r="G83" s="101">
        <f t="shared" ref="G83:J83" si="3">SUM(G75:G82)</f>
        <v>8.1943596000000003</v>
      </c>
      <c r="H83" s="101">
        <f t="shared" si="3"/>
        <v>8.7679647720000009</v>
      </c>
      <c r="I83" s="101">
        <f t="shared" si="3"/>
        <v>9.3817223060400021</v>
      </c>
      <c r="J83" s="101">
        <f t="shared" si="3"/>
        <v>10.038442867462802</v>
      </c>
      <c r="K83" s="73"/>
    </row>
    <row r="84" spans="2:12" x14ac:dyDescent="0.2">
      <c r="F84" s="5"/>
      <c r="K84" s="73"/>
    </row>
    <row r="85" spans="2:12" x14ac:dyDescent="0.2">
      <c r="B85" s="2" t="s">
        <v>141</v>
      </c>
      <c r="F85" s="5"/>
      <c r="K85" s="73"/>
    </row>
    <row r="86" spans="2:12" x14ac:dyDescent="0.2">
      <c r="C86" s="23" t="s">
        <v>18</v>
      </c>
      <c r="D86" s="23" t="s">
        <v>28</v>
      </c>
      <c r="E86" s="23"/>
      <c r="F86" s="65">
        <f>'Operating cost estimates'!J71</f>
        <v>0.96096000000000004</v>
      </c>
      <c r="G86" s="65">
        <f>F86*(1+'Key Assumptions'!$E$29)</f>
        <v>1.0282272000000001</v>
      </c>
      <c r="H86" s="65">
        <f>G86*(1+'Key Assumptions'!$E$29)</f>
        <v>1.1002031040000002</v>
      </c>
      <c r="I86" s="65">
        <f>H86*(1+'Key Assumptions'!$E$29)</f>
        <v>1.1772173212800003</v>
      </c>
      <c r="J86" s="65">
        <f>I86*(1+'Key Assumptions'!$E$29)</f>
        <v>1.2596225337696005</v>
      </c>
      <c r="K86" s="73"/>
      <c r="L86" s="1" t="s">
        <v>255</v>
      </c>
    </row>
    <row r="87" spans="2:12" x14ac:dyDescent="0.2">
      <c r="C87" s="23" t="s">
        <v>35</v>
      </c>
      <c r="D87" s="23" t="s">
        <v>28</v>
      </c>
      <c r="E87" s="23"/>
      <c r="F87" s="65">
        <f>'Operating cost estimates'!D63</f>
        <v>0.1</v>
      </c>
      <c r="G87" s="65">
        <f>F87*(1+'Key Assumptions'!$E$29)</f>
        <v>0.10700000000000001</v>
      </c>
      <c r="H87" s="65">
        <f>G87*(1+'Key Assumptions'!$E$29)</f>
        <v>0.11449000000000002</v>
      </c>
      <c r="I87" s="65">
        <f>H87*(1+'Key Assumptions'!$E$29)</f>
        <v>0.12250430000000002</v>
      </c>
      <c r="J87" s="65">
        <f>I87*(1+'Key Assumptions'!$E$29)</f>
        <v>0.13107960100000005</v>
      </c>
      <c r="K87" s="73"/>
    </row>
    <row r="88" spans="2:12" x14ac:dyDescent="0.2">
      <c r="C88" s="23" t="s">
        <v>36</v>
      </c>
      <c r="D88" s="23" t="s">
        <v>28</v>
      </c>
      <c r="E88" s="23"/>
      <c r="F88" s="65">
        <f>'Operating cost estimates'!D62</f>
        <v>0.25</v>
      </c>
      <c r="G88" s="65">
        <f>F88*(1+'Key Assumptions'!$E$29)</f>
        <v>0.26750000000000002</v>
      </c>
      <c r="H88" s="65">
        <f>G88*(1+'Key Assumptions'!$E$29)</f>
        <v>0.28622500000000001</v>
      </c>
      <c r="I88" s="65">
        <f>H88*(1+'Key Assumptions'!$E$29)</f>
        <v>0.30626075000000003</v>
      </c>
      <c r="J88" s="65">
        <f>I88*(1+'Key Assumptions'!$E$29)</f>
        <v>0.32769900250000006</v>
      </c>
      <c r="K88" s="73"/>
    </row>
    <row r="89" spans="2:12" x14ac:dyDescent="0.2">
      <c r="C89" s="61" t="s">
        <v>24</v>
      </c>
      <c r="D89" s="61" t="s">
        <v>28</v>
      </c>
      <c r="E89" s="23"/>
      <c r="F89" s="101">
        <f>SUM(F86:F88)</f>
        <v>1.3109600000000001</v>
      </c>
      <c r="G89" s="101">
        <f t="shared" ref="G89:J89" si="4">SUM(G86:G88)</f>
        <v>1.4027272000000002</v>
      </c>
      <c r="H89" s="101">
        <f t="shared" si="4"/>
        <v>1.5009181040000001</v>
      </c>
      <c r="I89" s="101">
        <f t="shared" si="4"/>
        <v>1.6059823712800005</v>
      </c>
      <c r="J89" s="101">
        <f t="shared" si="4"/>
        <v>1.7184011372696006</v>
      </c>
      <c r="K89" s="73"/>
    </row>
    <row r="90" spans="2:12" x14ac:dyDescent="0.2">
      <c r="C90" s="70"/>
      <c r="D90" s="70"/>
      <c r="E90" s="33"/>
      <c r="F90" s="71"/>
      <c r="G90" s="71"/>
      <c r="H90" s="71"/>
      <c r="I90" s="71"/>
      <c r="J90" s="71"/>
      <c r="K90" s="73"/>
    </row>
    <row r="91" spans="2:12" x14ac:dyDescent="0.2">
      <c r="B91" s="2" t="s">
        <v>142</v>
      </c>
      <c r="C91" s="23" t="s">
        <v>136</v>
      </c>
      <c r="D91" s="23" t="s">
        <v>28</v>
      </c>
      <c r="E91" s="23"/>
      <c r="F91" s="66">
        <v>0</v>
      </c>
      <c r="G91" s="66">
        <v>0</v>
      </c>
      <c r="H91" s="66">
        <v>0</v>
      </c>
      <c r="I91" s="66">
        <v>0</v>
      </c>
      <c r="J91" s="66">
        <v>0</v>
      </c>
      <c r="K91" s="73"/>
    </row>
    <row r="92" spans="2:12" x14ac:dyDescent="0.2">
      <c r="B92" s="2"/>
      <c r="C92" s="23" t="s">
        <v>137</v>
      </c>
      <c r="D92" s="23" t="s">
        <v>28</v>
      </c>
      <c r="E92" s="23"/>
      <c r="F92" s="66">
        <f>'Operating cost estimates'!K19</f>
        <v>0</v>
      </c>
      <c r="G92" s="66">
        <f>'Operating cost estimates'!L19</f>
        <v>0</v>
      </c>
      <c r="H92" s="66">
        <f>'Operating cost estimates'!M19</f>
        <v>0</v>
      </c>
      <c r="I92" s="66">
        <f>'Operating cost estimates'!N19</f>
        <v>0</v>
      </c>
      <c r="J92" s="66">
        <f>'Operating cost estimates'!O19</f>
        <v>0</v>
      </c>
      <c r="K92" s="73"/>
    </row>
    <row r="93" spans="2:12" x14ac:dyDescent="0.2">
      <c r="C93" s="61" t="s">
        <v>144</v>
      </c>
      <c r="D93" s="61" t="s">
        <v>28</v>
      </c>
      <c r="E93" s="23"/>
      <c r="F93" s="68">
        <f>SUM(F91:F92)</f>
        <v>0</v>
      </c>
      <c r="G93" s="68">
        <f t="shared" ref="G93:J93" si="5">SUM(G91:G92)</f>
        <v>0</v>
      </c>
      <c r="H93" s="68">
        <f t="shared" si="5"/>
        <v>0</v>
      </c>
      <c r="I93" s="68">
        <f t="shared" si="5"/>
        <v>0</v>
      </c>
      <c r="J93" s="68">
        <f t="shared" si="5"/>
        <v>0</v>
      </c>
      <c r="K93" s="73"/>
    </row>
    <row r="94" spans="2:12" x14ac:dyDescent="0.2">
      <c r="C94" s="70"/>
      <c r="D94" s="70"/>
      <c r="E94" s="33"/>
      <c r="F94" s="71"/>
      <c r="G94" s="71"/>
      <c r="H94" s="71"/>
      <c r="I94" s="71"/>
      <c r="J94" s="71"/>
      <c r="K94" s="73"/>
    </row>
    <row r="95" spans="2:12" x14ac:dyDescent="0.2">
      <c r="B95" s="2" t="s">
        <v>114</v>
      </c>
      <c r="C95" s="61" t="s">
        <v>24</v>
      </c>
      <c r="D95" s="61" t="s">
        <v>28</v>
      </c>
      <c r="E95" s="72"/>
      <c r="F95" s="68">
        <f>F89+F83</f>
        <v>8.969240000000001</v>
      </c>
      <c r="G95" s="68">
        <f>G89+G83</f>
        <v>9.5970867999999996</v>
      </c>
      <c r="H95" s="68">
        <f t="shared" ref="H95:J95" si="6">H89+H83</f>
        <v>10.268882876000001</v>
      </c>
      <c r="I95" s="68">
        <f t="shared" si="6"/>
        <v>10.987704677320004</v>
      </c>
      <c r="J95" s="68">
        <f t="shared" si="6"/>
        <v>11.756844004732402</v>
      </c>
      <c r="K95" s="73"/>
    </row>
    <row r="96" spans="2:12" x14ac:dyDescent="0.2">
      <c r="B96" s="2"/>
      <c r="C96" s="70"/>
      <c r="D96" s="70"/>
      <c r="E96" s="33"/>
      <c r="F96" s="71"/>
      <c r="G96" s="71"/>
      <c r="H96" s="71"/>
      <c r="I96" s="71"/>
      <c r="J96" s="71"/>
      <c r="K96" s="73"/>
    </row>
    <row r="97" spans="2:12" x14ac:dyDescent="0.2">
      <c r="B97" s="2" t="s">
        <v>122</v>
      </c>
      <c r="K97" s="73"/>
    </row>
    <row r="98" spans="2:12" x14ac:dyDescent="0.2">
      <c r="C98" s="23" t="str">
        <f t="shared" ref="C98:C102" si="7">C66</f>
        <v>Scenario 1, NPV=0, at Y=1</v>
      </c>
      <c r="D98" s="23" t="s">
        <v>28</v>
      </c>
      <c r="E98" s="23"/>
      <c r="F98" s="65">
        <f>F66-F$95</f>
        <v>3.2268675000000009</v>
      </c>
      <c r="G98" s="65">
        <f t="shared" ref="F98:J102" si="8">G66-G$95</f>
        <v>3.4527482250000006</v>
      </c>
      <c r="H98" s="65">
        <f t="shared" si="8"/>
        <v>3.694440600750001</v>
      </c>
      <c r="I98" s="65">
        <f t="shared" si="8"/>
        <v>3.9530514428025025</v>
      </c>
      <c r="J98" s="65">
        <f t="shared" si="8"/>
        <v>4.2297650437986771</v>
      </c>
      <c r="K98" s="73"/>
      <c r="L98" s="1" t="s">
        <v>256</v>
      </c>
    </row>
    <row r="99" spans="2:12" x14ac:dyDescent="0.2">
      <c r="C99" s="23" t="str">
        <f t="shared" si="7"/>
        <v>Scenario 2, NPV=0, at Y=2</v>
      </c>
      <c r="D99" s="23" t="s">
        <v>28</v>
      </c>
      <c r="E99" s="23"/>
      <c r="F99" s="65">
        <f t="shared" si="8"/>
        <v>3.0075060596026493</v>
      </c>
      <c r="G99" s="65">
        <f t="shared" si="8"/>
        <v>3.2180314837748334</v>
      </c>
      <c r="H99" s="65">
        <f t="shared" si="8"/>
        <v>3.4432936876390734</v>
      </c>
      <c r="I99" s="65">
        <f t="shared" si="8"/>
        <v>3.6843242457738086</v>
      </c>
      <c r="J99" s="65">
        <f t="shared" si="8"/>
        <v>3.9422269429779746</v>
      </c>
      <c r="K99" s="73"/>
    </row>
    <row r="100" spans="2:12" x14ac:dyDescent="0.2">
      <c r="C100" s="23" t="str">
        <f t="shared" si="7"/>
        <v>Scenario 3, NPV=0, at Y=3</v>
      </c>
      <c r="D100" s="23" t="s">
        <v>28</v>
      </c>
      <c r="E100" s="23"/>
      <c r="F100" s="65">
        <f t="shared" si="8"/>
        <v>2.8106068527485508</v>
      </c>
      <c r="G100" s="65">
        <f t="shared" si="8"/>
        <v>3.007349332440949</v>
      </c>
      <c r="H100" s="65">
        <f t="shared" si="8"/>
        <v>3.2178637857118169</v>
      </c>
      <c r="I100" s="65">
        <f t="shared" si="8"/>
        <v>3.4431142507116448</v>
      </c>
      <c r="J100" s="65">
        <f t="shared" si="8"/>
        <v>3.6841322482614594</v>
      </c>
      <c r="K100" s="73"/>
    </row>
    <row r="101" spans="2:12" x14ac:dyDescent="0.2">
      <c r="C101" s="23" t="str">
        <f t="shared" si="7"/>
        <v>Scenario 4, NPV=0, at Y=4</v>
      </c>
      <c r="D101" s="23" t="s">
        <v>28</v>
      </c>
      <c r="E101" s="23"/>
      <c r="F101" s="65">
        <f t="shared" si="8"/>
        <v>2.6340071725782117</v>
      </c>
      <c r="G101" s="65">
        <f t="shared" si="8"/>
        <v>2.8183876746586876</v>
      </c>
      <c r="H101" s="65">
        <f t="shared" si="8"/>
        <v>3.0156748118847947</v>
      </c>
      <c r="I101" s="65">
        <f t="shared" si="8"/>
        <v>3.2267720487167324</v>
      </c>
      <c r="J101" s="65">
        <f t="shared" si="8"/>
        <v>3.4526460921269031</v>
      </c>
      <c r="K101" s="73"/>
    </row>
    <row r="102" spans="2:12" x14ac:dyDescent="0.2">
      <c r="C102" s="23" t="str">
        <f t="shared" si="7"/>
        <v>Scenario 5, NPV=0, at Y=5</v>
      </c>
      <c r="D102" s="23" t="s">
        <v>28</v>
      </c>
      <c r="E102" s="23"/>
      <c r="F102" s="65">
        <f t="shared" si="8"/>
        <v>2.4757363244808115</v>
      </c>
      <c r="G102" s="65">
        <f t="shared" si="8"/>
        <v>2.6490378671944672</v>
      </c>
      <c r="H102" s="65">
        <f t="shared" si="8"/>
        <v>2.8344705178980814</v>
      </c>
      <c r="I102" s="65">
        <f t="shared" si="8"/>
        <v>3.032883454150948</v>
      </c>
      <c r="J102" s="65">
        <f t="shared" si="8"/>
        <v>3.2451852959415124</v>
      </c>
      <c r="K102" s="73"/>
    </row>
    <row r="105" spans="2:12" x14ac:dyDescent="0.2">
      <c r="B105" s="2"/>
    </row>
    <row r="106" spans="2:12" x14ac:dyDescent="0.2">
      <c r="B106" s="2" t="s">
        <v>163</v>
      </c>
      <c r="K106" s="73"/>
    </row>
    <row r="107" spans="2:12" x14ac:dyDescent="0.2">
      <c r="C107" s="23" t="s">
        <v>230</v>
      </c>
      <c r="D107" s="23" t="s">
        <v>28</v>
      </c>
      <c r="E107" s="23"/>
      <c r="F107" s="65">
        <f>$E$57*'Key Assumptions'!E$15</f>
        <v>1.50753</v>
      </c>
      <c r="G107" s="65">
        <f>$E$57*'Key Assumptions'!F$15</f>
        <v>1.50753</v>
      </c>
      <c r="H107" s="65">
        <f>$E$57*'Key Assumptions'!G$15</f>
        <v>1.50753</v>
      </c>
      <c r="I107" s="65">
        <f>$E$57*'Key Assumptions'!H$15</f>
        <v>1.50753</v>
      </c>
      <c r="J107" s="65">
        <f>$E$57*'Key Assumptions'!I$15</f>
        <v>1.50753</v>
      </c>
      <c r="K107" s="73"/>
      <c r="L107" s="5" t="s">
        <v>268</v>
      </c>
    </row>
    <row r="108" spans="2:12" x14ac:dyDescent="0.2">
      <c r="C108" s="62" t="s">
        <v>231</v>
      </c>
      <c r="D108" s="23" t="s">
        <v>28</v>
      </c>
      <c r="E108" s="65">
        <f>E57</f>
        <v>9.3000000000000007</v>
      </c>
      <c r="F108" s="65">
        <f>E108-F107</f>
        <v>7.7924700000000007</v>
      </c>
      <c r="G108" s="65">
        <f>F108-G107</f>
        <v>6.2849400000000006</v>
      </c>
      <c r="H108" s="65">
        <f>G108-H107</f>
        <v>4.7774100000000006</v>
      </c>
      <c r="I108" s="65">
        <f>H108-I107</f>
        <v>3.2698800000000006</v>
      </c>
      <c r="J108" s="65">
        <f>I108-J107</f>
        <v>1.7623500000000005</v>
      </c>
      <c r="K108" s="73"/>
    </row>
    <row r="109" spans="2:12" x14ac:dyDescent="0.2">
      <c r="K109" s="73"/>
    </row>
    <row r="110" spans="2:12" x14ac:dyDescent="0.2">
      <c r="B110" s="2" t="s">
        <v>171</v>
      </c>
      <c r="K110" s="73"/>
    </row>
    <row r="111" spans="2:12" x14ac:dyDescent="0.2">
      <c r="C111" s="23" t="str">
        <f>C98</f>
        <v>Scenario 1, NPV=0, at Y=1</v>
      </c>
      <c r="D111" s="23" t="s">
        <v>28</v>
      </c>
      <c r="E111" s="23"/>
      <c r="F111" s="65">
        <f>F98-F$107</f>
        <v>1.7193375000000009</v>
      </c>
      <c r="G111" s="65">
        <f t="shared" ref="G111:J111" si="9">G98-G$107</f>
        <v>1.9452182250000005</v>
      </c>
      <c r="H111" s="65">
        <f t="shared" si="9"/>
        <v>2.186910600750001</v>
      </c>
      <c r="I111" s="65">
        <f t="shared" si="9"/>
        <v>2.4455214428025025</v>
      </c>
      <c r="J111" s="65">
        <f t="shared" si="9"/>
        <v>2.7222350437986771</v>
      </c>
      <c r="K111" s="73"/>
      <c r="L111" s="1" t="s">
        <v>257</v>
      </c>
    </row>
    <row r="112" spans="2:12" x14ac:dyDescent="0.2">
      <c r="C112" s="23" t="str">
        <f t="shared" ref="C112:C115" si="10">C99</f>
        <v>Scenario 2, NPV=0, at Y=2</v>
      </c>
      <c r="D112" s="23" t="s">
        <v>28</v>
      </c>
      <c r="E112" s="23"/>
      <c r="F112" s="65">
        <f t="shared" ref="F112:J115" si="11">F99-F$107</f>
        <v>1.4999760596026492</v>
      </c>
      <c r="G112" s="65">
        <f t="shared" si="11"/>
        <v>1.7105014837748334</v>
      </c>
      <c r="H112" s="65">
        <f t="shared" si="11"/>
        <v>1.9357636876390734</v>
      </c>
      <c r="I112" s="65">
        <f t="shared" si="11"/>
        <v>2.1767942457738085</v>
      </c>
      <c r="J112" s="65">
        <f t="shared" si="11"/>
        <v>2.4346969429779746</v>
      </c>
      <c r="K112" s="73"/>
    </row>
    <row r="113" spans="2:13" x14ac:dyDescent="0.2">
      <c r="C113" s="23" t="str">
        <f t="shared" si="10"/>
        <v>Scenario 3, NPV=0, at Y=3</v>
      </c>
      <c r="D113" s="23" t="s">
        <v>28</v>
      </c>
      <c r="E113" s="23"/>
      <c r="F113" s="65">
        <f t="shared" si="11"/>
        <v>1.3030768527485508</v>
      </c>
      <c r="G113" s="65">
        <f>G100-G$107</f>
        <v>1.499819332440949</v>
      </c>
      <c r="H113" s="65">
        <f t="shared" si="11"/>
        <v>1.7103337857118168</v>
      </c>
      <c r="I113" s="65">
        <f t="shared" si="11"/>
        <v>1.9355842507116447</v>
      </c>
      <c r="J113" s="65">
        <f t="shared" si="11"/>
        <v>2.1766022482614593</v>
      </c>
      <c r="K113" s="73"/>
      <c r="M113" s="100"/>
    </row>
    <row r="114" spans="2:13" x14ac:dyDescent="0.2">
      <c r="C114" s="23" t="str">
        <f t="shared" si="10"/>
        <v>Scenario 4, NPV=0, at Y=4</v>
      </c>
      <c r="D114" s="23" t="s">
        <v>28</v>
      </c>
      <c r="E114" s="23"/>
      <c r="F114" s="65">
        <f t="shared" si="11"/>
        <v>1.1264771725782117</v>
      </c>
      <c r="G114" s="65">
        <f t="shared" si="11"/>
        <v>1.3108576746586875</v>
      </c>
      <c r="H114" s="65">
        <f t="shared" si="11"/>
        <v>1.5081448118847947</v>
      </c>
      <c r="I114" s="65">
        <f t="shared" si="11"/>
        <v>1.7192420487167324</v>
      </c>
      <c r="J114" s="65">
        <f t="shared" si="11"/>
        <v>1.9451160921269031</v>
      </c>
      <c r="K114" s="73"/>
    </row>
    <row r="115" spans="2:13" x14ac:dyDescent="0.2">
      <c r="C115" s="23" t="str">
        <f t="shared" si="10"/>
        <v>Scenario 5, NPV=0, at Y=5</v>
      </c>
      <c r="D115" s="23" t="s">
        <v>28</v>
      </c>
      <c r="E115" s="23"/>
      <c r="F115" s="65">
        <f t="shared" si="11"/>
        <v>0.96820632448081145</v>
      </c>
      <c r="G115" s="65">
        <f t="shared" si="11"/>
        <v>1.1415078671944672</v>
      </c>
      <c r="H115" s="65">
        <f t="shared" si="11"/>
        <v>1.3269405178980813</v>
      </c>
      <c r="I115" s="65">
        <f t="shared" si="11"/>
        <v>1.5253534541509479</v>
      </c>
      <c r="J115" s="65">
        <f t="shared" si="11"/>
        <v>1.7376552959415124</v>
      </c>
      <c r="K115" s="73"/>
    </row>
    <row r="116" spans="2:13" x14ac:dyDescent="0.2">
      <c r="C116" s="73"/>
      <c r="D116" s="73"/>
      <c r="E116" s="73"/>
      <c r="F116" s="73"/>
      <c r="G116" s="73"/>
      <c r="H116" s="73"/>
      <c r="I116" s="73"/>
      <c r="J116" s="73"/>
      <c r="K116" s="73"/>
    </row>
    <row r="117" spans="2:13" x14ac:dyDescent="0.2">
      <c r="C117" s="73"/>
      <c r="D117" s="73"/>
      <c r="E117" s="73"/>
      <c r="F117" s="73"/>
      <c r="G117" s="73"/>
      <c r="H117" s="73"/>
      <c r="I117" s="73"/>
      <c r="J117" s="73"/>
      <c r="K117" s="73"/>
    </row>
    <row r="118" spans="2:13" x14ac:dyDescent="0.2">
      <c r="C118" s="73"/>
      <c r="D118" s="73"/>
      <c r="E118" s="73"/>
      <c r="F118" s="73"/>
      <c r="G118" s="73"/>
      <c r="H118" s="73"/>
      <c r="I118" s="73"/>
      <c r="J118" s="73"/>
      <c r="K118" s="73"/>
    </row>
    <row r="119" spans="2:13" x14ac:dyDescent="0.2">
      <c r="B119" s="2" t="s">
        <v>167</v>
      </c>
      <c r="F119" s="116">
        <f>F172</f>
        <v>0.58590000000000009</v>
      </c>
      <c r="G119" s="116">
        <f t="shared" ref="G119:J119" si="12">G172</f>
        <v>0.45570000000000005</v>
      </c>
      <c r="H119" s="116">
        <f t="shared" si="12"/>
        <v>0.32550000000000007</v>
      </c>
      <c r="I119" s="116">
        <f t="shared" si="12"/>
        <v>0.1953</v>
      </c>
      <c r="J119" s="116">
        <f t="shared" si="12"/>
        <v>6.5099999999999991E-2</v>
      </c>
      <c r="K119" s="73"/>
    </row>
    <row r="120" spans="2:13" x14ac:dyDescent="0.2">
      <c r="K120" s="73"/>
    </row>
    <row r="121" spans="2:13" x14ac:dyDescent="0.2">
      <c r="K121" s="73"/>
    </row>
    <row r="122" spans="2:13" x14ac:dyDescent="0.2">
      <c r="B122" s="2" t="s">
        <v>164</v>
      </c>
      <c r="K122" s="73"/>
    </row>
    <row r="123" spans="2:13" x14ac:dyDescent="0.2">
      <c r="C123" s="23" t="s">
        <v>164</v>
      </c>
      <c r="K123" s="73"/>
    </row>
    <row r="124" spans="2:13" x14ac:dyDescent="0.2">
      <c r="C124" s="23" t="str">
        <f>C111</f>
        <v>Scenario 1, NPV=0, at Y=1</v>
      </c>
      <c r="D124" s="23" t="s">
        <v>28</v>
      </c>
      <c r="E124" s="23"/>
      <c r="F124" s="65">
        <f>F111-F$119</f>
        <v>1.1334375000000008</v>
      </c>
      <c r="G124" s="65">
        <f t="shared" ref="G124:J124" si="13">G111-G$119</f>
        <v>1.4895182250000005</v>
      </c>
      <c r="H124" s="65">
        <f t="shared" si="13"/>
        <v>1.8614106007500009</v>
      </c>
      <c r="I124" s="65">
        <f t="shared" si="13"/>
        <v>2.2502214428025025</v>
      </c>
      <c r="J124" s="65">
        <f t="shared" si="13"/>
        <v>2.6571350437986769</v>
      </c>
      <c r="K124" s="73"/>
      <c r="L124" s="1" t="s">
        <v>258</v>
      </c>
    </row>
    <row r="125" spans="2:13" x14ac:dyDescent="0.2">
      <c r="C125" s="23" t="str">
        <f t="shared" ref="C125:C128" si="14">C112</f>
        <v>Scenario 2, NPV=0, at Y=2</v>
      </c>
      <c r="D125" s="23" t="s">
        <v>28</v>
      </c>
      <c r="E125" s="23"/>
      <c r="F125" s="65">
        <f t="shared" ref="F125:J125" si="15">F112-F$119</f>
        <v>0.91407605960264915</v>
      </c>
      <c r="G125" s="65">
        <f>G112-G$119</f>
        <v>1.2548014837748334</v>
      </c>
      <c r="H125" s="65">
        <f t="shared" si="15"/>
        <v>1.6102636876390732</v>
      </c>
      <c r="I125" s="65">
        <f t="shared" si="15"/>
        <v>1.9814942457738085</v>
      </c>
      <c r="J125" s="65">
        <f t="shared" si="15"/>
        <v>2.3695969429779744</v>
      </c>
      <c r="K125" s="73"/>
    </row>
    <row r="126" spans="2:13" x14ac:dyDescent="0.2">
      <c r="C126" s="23" t="str">
        <f t="shared" si="14"/>
        <v>Scenario 3, NPV=0, at Y=3</v>
      </c>
      <c r="D126" s="23" t="s">
        <v>28</v>
      </c>
      <c r="E126" s="23"/>
      <c r="F126" s="65">
        <f t="shared" ref="F126:J126" si="16">F113-F$119</f>
        <v>0.7171768527485507</v>
      </c>
      <c r="G126" s="65">
        <f t="shared" si="16"/>
        <v>1.044119332440949</v>
      </c>
      <c r="H126" s="65">
        <f>H113-H$119</f>
        <v>1.3848337857118167</v>
      </c>
      <c r="I126" s="65">
        <f t="shared" si="16"/>
        <v>1.7402842507116447</v>
      </c>
      <c r="J126" s="65">
        <f t="shared" si="16"/>
        <v>2.1115022482614592</v>
      </c>
      <c r="K126" s="73"/>
    </row>
    <row r="127" spans="2:13" x14ac:dyDescent="0.2">
      <c r="C127" s="23" t="str">
        <f t="shared" si="14"/>
        <v>Scenario 4, NPV=0, at Y=4</v>
      </c>
      <c r="D127" s="23" t="s">
        <v>28</v>
      </c>
      <c r="E127" s="23"/>
      <c r="F127" s="65">
        <f t="shared" ref="F127:J127" si="17">F114-F$119</f>
        <v>0.54057717257821158</v>
      </c>
      <c r="G127" s="65">
        <f t="shared" si="17"/>
        <v>0.85515767465868753</v>
      </c>
      <c r="H127" s="65">
        <f t="shared" si="17"/>
        <v>1.1826448118847945</v>
      </c>
      <c r="I127" s="65">
        <f t="shared" si="17"/>
        <v>1.5239420487167323</v>
      </c>
      <c r="J127" s="65">
        <f t="shared" si="17"/>
        <v>1.8800160921269031</v>
      </c>
      <c r="K127" s="73"/>
    </row>
    <row r="128" spans="2:13" x14ac:dyDescent="0.2">
      <c r="C128" s="23" t="str">
        <f t="shared" si="14"/>
        <v>Scenario 5, NPV=0, at Y=5</v>
      </c>
      <c r="D128" s="23" t="s">
        <v>28</v>
      </c>
      <c r="E128" s="23"/>
      <c r="F128" s="65">
        <f t="shared" ref="F128:J128" si="18">F115-F$119</f>
        <v>0.38230632448081137</v>
      </c>
      <c r="G128" s="65">
        <f t="shared" si="18"/>
        <v>0.68580786719446718</v>
      </c>
      <c r="H128" s="65">
        <f t="shared" si="18"/>
        <v>1.0014405178980812</v>
      </c>
      <c r="I128" s="65">
        <f t="shared" si="18"/>
        <v>1.3300534541509479</v>
      </c>
      <c r="J128" s="65">
        <f t="shared" si="18"/>
        <v>1.6725552959415124</v>
      </c>
      <c r="K128" s="73"/>
    </row>
    <row r="129" spans="2:12" x14ac:dyDescent="0.2">
      <c r="C129" s="73"/>
      <c r="D129" s="73"/>
      <c r="E129" s="73"/>
      <c r="F129" s="73"/>
      <c r="G129" s="73"/>
      <c r="H129" s="73"/>
      <c r="I129" s="73"/>
      <c r="J129" s="73"/>
      <c r="K129" s="73"/>
    </row>
    <row r="130" spans="2:12" x14ac:dyDescent="0.2">
      <c r="C130" s="73"/>
      <c r="D130" s="73"/>
      <c r="E130" s="73"/>
      <c r="F130" s="73"/>
      <c r="G130" s="73"/>
      <c r="H130" s="73"/>
      <c r="I130" s="73"/>
      <c r="J130" s="73"/>
      <c r="K130" s="73"/>
    </row>
    <row r="131" spans="2:12" x14ac:dyDescent="0.2">
      <c r="K131" s="73"/>
    </row>
    <row r="132" spans="2:12" x14ac:dyDescent="0.2">
      <c r="K132" s="73"/>
    </row>
    <row r="133" spans="2:12" x14ac:dyDescent="0.2">
      <c r="B133" s="2" t="s">
        <v>165</v>
      </c>
      <c r="K133" s="73"/>
    </row>
    <row r="134" spans="2:12" x14ac:dyDescent="0.2">
      <c r="B134" s="2"/>
      <c r="C134" s="23" t="s">
        <v>166</v>
      </c>
      <c r="D134" s="4"/>
      <c r="K134" s="73"/>
    </row>
    <row r="135" spans="2:12" x14ac:dyDescent="0.2">
      <c r="C135" s="23" t="str">
        <f>C124</f>
        <v>Scenario 1, NPV=0, at Y=1</v>
      </c>
      <c r="D135" s="23" t="s">
        <v>28</v>
      </c>
      <c r="E135" s="23"/>
      <c r="F135" s="65">
        <f>MAX("0",(F124*'Key Assumptions'!$E$30))</f>
        <v>0.22668750000000015</v>
      </c>
      <c r="G135" s="65">
        <f>MAX("0",(G124*'Key Assumptions'!$E$30))</f>
        <v>0.29790364500000011</v>
      </c>
      <c r="H135" s="65">
        <f>MAX("0",(H124*'Key Assumptions'!$E$30))</f>
        <v>0.37228212015000017</v>
      </c>
      <c r="I135" s="65">
        <f>MAX("0",(I124*'Key Assumptions'!$E$30))</f>
        <v>0.45004428856050049</v>
      </c>
      <c r="J135" s="65">
        <f>MAX("0",(J124*'Key Assumptions'!$E$30))</f>
        <v>0.53142700875973536</v>
      </c>
      <c r="K135" s="73"/>
      <c r="L135" s="1" t="s">
        <v>259</v>
      </c>
    </row>
    <row r="136" spans="2:12" x14ac:dyDescent="0.2">
      <c r="C136" s="23" t="str">
        <f t="shared" ref="C136:C139" si="19">C125</f>
        <v>Scenario 2, NPV=0, at Y=2</v>
      </c>
      <c r="D136" s="23" t="s">
        <v>28</v>
      </c>
      <c r="E136" s="23"/>
      <c r="F136" s="65">
        <f>MAX("0",(F125*'Key Assumptions'!$E$30))</f>
        <v>0.18281521192052985</v>
      </c>
      <c r="G136" s="65">
        <f>MAX("0",(G125*'Key Assumptions'!$E$30))</f>
        <v>0.25096029675496667</v>
      </c>
      <c r="H136" s="65">
        <f>MAX("0",(H125*'Key Assumptions'!$E$30))</f>
        <v>0.32205273752781466</v>
      </c>
      <c r="I136" s="65">
        <f>MAX("0",(I125*'Key Assumptions'!$E$30))</f>
        <v>0.39629884915476171</v>
      </c>
      <c r="J136" s="65">
        <f>MAX("0",(J125*'Key Assumptions'!$E$30))</f>
        <v>0.4739193885955949</v>
      </c>
      <c r="K136" s="73"/>
    </row>
    <row r="137" spans="2:12" x14ac:dyDescent="0.2">
      <c r="C137" s="23" t="str">
        <f t="shared" si="19"/>
        <v>Scenario 3, NPV=0, at Y=3</v>
      </c>
      <c r="D137" s="23" t="s">
        <v>28</v>
      </c>
      <c r="E137" s="23"/>
      <c r="F137" s="65">
        <f>MAX("0",(F126*'Key Assumptions'!$E$30))</f>
        <v>0.14343537054971014</v>
      </c>
      <c r="G137" s="65">
        <f>MAX("0",(G126*'Key Assumptions'!$E$30))</f>
        <v>0.20882386648818982</v>
      </c>
      <c r="H137" s="65">
        <f>MAX("0",(H126*'Key Assumptions'!$E$30))</f>
        <v>0.27696675714236335</v>
      </c>
      <c r="I137" s="65">
        <f>MAX("0",(I126*'Key Assumptions'!$E$30))</f>
        <v>0.34805685014232896</v>
      </c>
      <c r="J137" s="65">
        <f>MAX("0",(J126*'Key Assumptions'!$E$30))</f>
        <v>0.42230044965229185</v>
      </c>
      <c r="K137" s="73"/>
    </row>
    <row r="138" spans="2:12" x14ac:dyDescent="0.2">
      <c r="C138" s="23" t="str">
        <f t="shared" si="19"/>
        <v>Scenario 4, NPV=0, at Y=4</v>
      </c>
      <c r="D138" s="23" t="s">
        <v>28</v>
      </c>
      <c r="E138" s="23"/>
      <c r="F138" s="65">
        <f>MAX("0",(F127*'Key Assumptions'!$E$30))</f>
        <v>0.10811543451564232</v>
      </c>
      <c r="G138" s="65">
        <f>MAX("0",(G127*'Key Assumptions'!$E$30))</f>
        <v>0.17103153493173751</v>
      </c>
      <c r="H138" s="65">
        <f>MAX("0",(H127*'Key Assumptions'!$E$30))</f>
        <v>0.23652896237695892</v>
      </c>
      <c r="I138" s="65">
        <f>MAX("0",(I127*'Key Assumptions'!$E$30))</f>
        <v>0.30478840974334648</v>
      </c>
      <c r="J138" s="65">
        <f>MAX("0",(J127*'Key Assumptions'!$E$30))</f>
        <v>0.37600321842538065</v>
      </c>
      <c r="K138" s="73"/>
    </row>
    <row r="139" spans="2:12" x14ac:dyDescent="0.2">
      <c r="C139" s="23" t="str">
        <f t="shared" si="19"/>
        <v>Scenario 5, NPV=0, at Y=5</v>
      </c>
      <c r="D139" s="23" t="s">
        <v>28</v>
      </c>
      <c r="E139" s="23"/>
      <c r="F139" s="65">
        <f>MAX("0",(F128*'Key Assumptions'!$E$30))</f>
        <v>7.6461264896162284E-2</v>
      </c>
      <c r="G139" s="65">
        <f>MAX("0",(G128*'Key Assumptions'!$E$30))</f>
        <v>0.13716157343889343</v>
      </c>
      <c r="H139" s="65">
        <f>MAX("0",(H128*'Key Assumptions'!$E$30))</f>
        <v>0.20028810357961624</v>
      </c>
      <c r="I139" s="65">
        <f>MAX("0",(I128*'Key Assumptions'!$E$30))</f>
        <v>0.26601069083018958</v>
      </c>
      <c r="J139" s="65">
        <f>MAX("0",(J128*'Key Assumptions'!$E$30))</f>
        <v>0.33451105918830248</v>
      </c>
      <c r="K139" s="73"/>
    </row>
    <row r="143" spans="2:12" x14ac:dyDescent="0.2">
      <c r="K143" s="73"/>
    </row>
    <row r="144" spans="2:12" x14ac:dyDescent="0.2">
      <c r="B144" s="2" t="s">
        <v>123</v>
      </c>
      <c r="K144" s="73"/>
    </row>
    <row r="145" spans="2:13" x14ac:dyDescent="0.2">
      <c r="C145" s="61" t="s">
        <v>40</v>
      </c>
      <c r="K145" s="73"/>
    </row>
    <row r="146" spans="2:13" x14ac:dyDescent="0.2">
      <c r="C146" s="23" t="str">
        <f>C135</f>
        <v>Scenario 1, NPV=0, at Y=1</v>
      </c>
      <c r="D146" s="23" t="s">
        <v>28</v>
      </c>
      <c r="E146" s="23"/>
      <c r="F146" s="65">
        <f>F124-F135</f>
        <v>0.90675000000000061</v>
      </c>
      <c r="G146" s="65">
        <f t="shared" ref="F146:J150" si="20">G124-G135</f>
        <v>1.1916145800000004</v>
      </c>
      <c r="H146" s="65">
        <f t="shared" si="20"/>
        <v>1.4891284806000007</v>
      </c>
      <c r="I146" s="65">
        <f t="shared" si="20"/>
        <v>1.800177154242002</v>
      </c>
      <c r="J146" s="65">
        <f t="shared" si="20"/>
        <v>2.1257080350389415</v>
      </c>
      <c r="K146" s="73"/>
      <c r="L146" s="1" t="s">
        <v>260</v>
      </c>
    </row>
    <row r="147" spans="2:13" x14ac:dyDescent="0.2">
      <c r="C147" s="23" t="str">
        <f t="shared" ref="C147:C150" si="21">C136</f>
        <v>Scenario 2, NPV=0, at Y=2</v>
      </c>
      <c r="D147" s="23" t="s">
        <v>28</v>
      </c>
      <c r="E147" s="23"/>
      <c r="F147" s="65">
        <f t="shared" si="20"/>
        <v>0.7312608476821193</v>
      </c>
      <c r="G147" s="65">
        <f t="shared" si="20"/>
        <v>1.0038411870198667</v>
      </c>
      <c r="H147" s="65">
        <f t="shared" si="20"/>
        <v>1.2882109501112586</v>
      </c>
      <c r="I147" s="65">
        <f t="shared" si="20"/>
        <v>1.5851953966190468</v>
      </c>
      <c r="J147" s="65">
        <f t="shared" si="20"/>
        <v>1.8956775543823796</v>
      </c>
      <c r="K147" s="73"/>
    </row>
    <row r="148" spans="2:13" x14ac:dyDescent="0.2">
      <c r="C148" s="23" t="str">
        <f t="shared" si="21"/>
        <v>Scenario 3, NPV=0, at Y=3</v>
      </c>
      <c r="D148" s="23" t="s">
        <v>28</v>
      </c>
      <c r="E148" s="23"/>
      <c r="F148" s="65">
        <f t="shared" si="20"/>
        <v>0.57374148219884058</v>
      </c>
      <c r="G148" s="65">
        <f t="shared" si="20"/>
        <v>0.83529546595275916</v>
      </c>
      <c r="H148" s="65">
        <f t="shared" si="20"/>
        <v>1.1078670285694534</v>
      </c>
      <c r="I148" s="65">
        <f t="shared" si="20"/>
        <v>1.3922274005693158</v>
      </c>
      <c r="J148" s="65">
        <f t="shared" si="20"/>
        <v>1.6892017986091674</v>
      </c>
      <c r="K148" s="73"/>
    </row>
    <row r="149" spans="2:13" x14ac:dyDescent="0.2">
      <c r="C149" s="23" t="str">
        <f t="shared" si="21"/>
        <v>Scenario 4, NPV=0, at Y=4</v>
      </c>
      <c r="D149" s="23" t="s">
        <v>28</v>
      </c>
      <c r="E149" s="23"/>
      <c r="F149" s="65">
        <f t="shared" si="20"/>
        <v>0.43246173806256927</v>
      </c>
      <c r="G149" s="65">
        <f t="shared" si="20"/>
        <v>0.68412613972695002</v>
      </c>
      <c r="H149" s="65">
        <f>H127-H138</f>
        <v>0.94611584950783567</v>
      </c>
      <c r="I149" s="65">
        <f t="shared" si="20"/>
        <v>1.2191536389733859</v>
      </c>
      <c r="J149" s="65">
        <f t="shared" si="20"/>
        <v>1.5040128737015226</v>
      </c>
      <c r="K149" s="73"/>
    </row>
    <row r="150" spans="2:13" x14ac:dyDescent="0.2">
      <c r="C150" s="23" t="str">
        <f t="shared" si="21"/>
        <v>Scenario 5, NPV=0, at Y=5</v>
      </c>
      <c r="D150" s="23" t="s">
        <v>28</v>
      </c>
      <c r="E150" s="23"/>
      <c r="F150" s="65">
        <f t="shared" si="20"/>
        <v>0.30584505958464908</v>
      </c>
      <c r="G150" s="65">
        <f t="shared" si="20"/>
        <v>0.54864629375557372</v>
      </c>
      <c r="H150" s="65">
        <f t="shared" si="20"/>
        <v>0.80115241431846496</v>
      </c>
      <c r="I150" s="65">
        <f t="shared" si="20"/>
        <v>1.0640427633207583</v>
      </c>
      <c r="J150" s="65">
        <f t="shared" si="20"/>
        <v>1.3380442367532099</v>
      </c>
      <c r="K150" s="73"/>
    </row>
    <row r="153" spans="2:13" x14ac:dyDescent="0.2">
      <c r="M153" s="1" t="s">
        <v>113</v>
      </c>
    </row>
    <row r="154" spans="2:13" x14ac:dyDescent="0.2">
      <c r="K154" s="73"/>
    </row>
    <row r="155" spans="2:13" x14ac:dyDescent="0.2">
      <c r="B155" s="2" t="s">
        <v>274</v>
      </c>
      <c r="K155" s="73"/>
    </row>
    <row r="156" spans="2:13" x14ac:dyDescent="0.2">
      <c r="B156" s="2"/>
      <c r="K156" s="73"/>
    </row>
    <row r="157" spans="2:13" x14ac:dyDescent="0.2">
      <c r="B157" s="2"/>
      <c r="C157" s="1" t="s">
        <v>163</v>
      </c>
      <c r="F157" s="116">
        <f>F107</f>
        <v>1.50753</v>
      </c>
      <c r="G157" s="116">
        <f t="shared" ref="G157:J157" si="22">G107</f>
        <v>1.50753</v>
      </c>
      <c r="H157" s="116">
        <f t="shared" si="22"/>
        <v>1.50753</v>
      </c>
      <c r="I157" s="116">
        <f t="shared" si="22"/>
        <v>1.50753</v>
      </c>
      <c r="J157" s="116">
        <f t="shared" si="22"/>
        <v>1.50753</v>
      </c>
      <c r="K157" s="73"/>
    </row>
    <row r="158" spans="2:13" x14ac:dyDescent="0.2">
      <c r="B158" s="2"/>
      <c r="K158" s="73"/>
    </row>
    <row r="159" spans="2:13" x14ac:dyDescent="0.2">
      <c r="B159" s="2"/>
      <c r="C159" s="61" t="s">
        <v>275</v>
      </c>
      <c r="K159" s="73"/>
    </row>
    <row r="160" spans="2:13" x14ac:dyDescent="0.2">
      <c r="C160" s="23" t="str">
        <f>C146</f>
        <v>Scenario 1, NPV=0, at Y=1</v>
      </c>
      <c r="D160" s="23" t="s">
        <v>28</v>
      </c>
      <c r="E160" s="65">
        <f>-E169</f>
        <v>-4.6500000000000004</v>
      </c>
      <c r="F160" s="65">
        <f>F146+F$157</f>
        <v>2.4142800000000006</v>
      </c>
      <c r="G160" s="65">
        <f t="shared" ref="G160:J160" si="23">G146+G$157</f>
        <v>2.6991445800000005</v>
      </c>
      <c r="H160" s="65">
        <f t="shared" si="23"/>
        <v>2.9966584806000007</v>
      </c>
      <c r="I160" s="65">
        <f t="shared" si="23"/>
        <v>3.307707154242002</v>
      </c>
      <c r="J160" s="65">
        <f t="shared" si="23"/>
        <v>3.6332380350389415</v>
      </c>
      <c r="K160" s="73"/>
      <c r="L160" s="1" t="s">
        <v>261</v>
      </c>
    </row>
    <row r="161" spans="2:12" x14ac:dyDescent="0.2">
      <c r="C161" s="23" t="str">
        <f t="shared" ref="C161:C164" si="24">C147</f>
        <v>Scenario 2, NPV=0, at Y=2</v>
      </c>
      <c r="D161" s="23" t="s">
        <v>28</v>
      </c>
      <c r="E161" s="65">
        <f>E160</f>
        <v>-4.6500000000000004</v>
      </c>
      <c r="F161" s="65">
        <f>F147+F$157</f>
        <v>2.2387908476821194</v>
      </c>
      <c r="G161" s="65">
        <f t="shared" ref="G161:J161" si="25">G147+G$157</f>
        <v>2.5113711870198667</v>
      </c>
      <c r="H161" s="65">
        <f t="shared" si="25"/>
        <v>2.7957409501112584</v>
      </c>
      <c r="I161" s="65">
        <f t="shared" si="25"/>
        <v>3.0927253966190467</v>
      </c>
      <c r="J161" s="65">
        <f t="shared" si="25"/>
        <v>3.4032075543823797</v>
      </c>
      <c r="K161" s="73"/>
    </row>
    <row r="162" spans="2:12" x14ac:dyDescent="0.2">
      <c r="C162" s="23" t="str">
        <f t="shared" si="24"/>
        <v>Scenario 3, NPV=0, at Y=3</v>
      </c>
      <c r="D162" s="23" t="s">
        <v>28</v>
      </c>
      <c r="E162" s="65">
        <f t="shared" ref="E162:E164" si="26">E161</f>
        <v>-4.6500000000000004</v>
      </c>
      <c r="F162" s="65">
        <f t="shared" ref="F162:J162" si="27">F148+F$157</f>
        <v>2.0812714821988405</v>
      </c>
      <c r="G162" s="65">
        <f t="shared" si="27"/>
        <v>2.3428254659527594</v>
      </c>
      <c r="H162" s="65">
        <f t="shared" si="27"/>
        <v>2.6153970285694532</v>
      </c>
      <c r="I162" s="65">
        <f t="shared" si="27"/>
        <v>2.8997574005693156</v>
      </c>
      <c r="J162" s="65">
        <f t="shared" si="27"/>
        <v>3.1967317986091675</v>
      </c>
      <c r="K162" s="73"/>
    </row>
    <row r="163" spans="2:12" x14ac:dyDescent="0.2">
      <c r="C163" s="23" t="str">
        <f t="shared" si="24"/>
        <v>Scenario 4, NPV=0, at Y=4</v>
      </c>
      <c r="D163" s="23" t="s">
        <v>28</v>
      </c>
      <c r="E163" s="65">
        <f t="shared" si="26"/>
        <v>-4.6500000000000004</v>
      </c>
      <c r="F163" s="65">
        <f t="shared" ref="F163:J163" si="28">F149+F$157</f>
        <v>1.9399917380625693</v>
      </c>
      <c r="G163" s="65">
        <f t="shared" si="28"/>
        <v>2.1916561397269501</v>
      </c>
      <c r="H163" s="65">
        <f t="shared" si="28"/>
        <v>2.4536458495078355</v>
      </c>
      <c r="I163" s="65">
        <f t="shared" si="28"/>
        <v>2.7266836389733857</v>
      </c>
      <c r="J163" s="65">
        <f t="shared" si="28"/>
        <v>3.0115428737015226</v>
      </c>
      <c r="K163" s="73"/>
    </row>
    <row r="164" spans="2:12" x14ac:dyDescent="0.2">
      <c r="C164" s="23" t="str">
        <f t="shared" si="24"/>
        <v>Scenario 5, NPV=0, at Y=5</v>
      </c>
      <c r="D164" s="23" t="s">
        <v>28</v>
      </c>
      <c r="E164" s="65">
        <f t="shared" si="26"/>
        <v>-4.6500000000000004</v>
      </c>
      <c r="F164" s="65">
        <f t="shared" ref="F164:J164" si="29">F150+F$157</f>
        <v>1.8133750595846492</v>
      </c>
      <c r="G164" s="65">
        <f t="shared" si="29"/>
        <v>2.0561762937555739</v>
      </c>
      <c r="H164" s="65">
        <f t="shared" si="29"/>
        <v>2.308682414318465</v>
      </c>
      <c r="I164" s="65">
        <f t="shared" si="29"/>
        <v>2.5715727633207583</v>
      </c>
      <c r="J164" s="65">
        <f t="shared" si="29"/>
        <v>2.84557423675321</v>
      </c>
      <c r="K164" s="73"/>
    </row>
    <row r="167" spans="2:12" x14ac:dyDescent="0.2">
      <c r="K167" s="73"/>
    </row>
    <row r="168" spans="2:12" x14ac:dyDescent="0.2">
      <c r="B168" s="2" t="s">
        <v>37</v>
      </c>
      <c r="K168" s="73"/>
    </row>
    <row r="169" spans="2:12" x14ac:dyDescent="0.2">
      <c r="C169" s="21" t="s">
        <v>232</v>
      </c>
      <c r="D169" s="21"/>
      <c r="E169" s="59">
        <f>E57*'Key Assumptions'!$E$7</f>
        <v>4.6500000000000004</v>
      </c>
      <c r="K169" s="73"/>
    </row>
    <row r="170" spans="2:12" x14ac:dyDescent="0.2">
      <c r="C170" s="21" t="s">
        <v>170</v>
      </c>
      <c r="D170" s="21"/>
      <c r="E170" s="59">
        <f>E57-E169</f>
        <v>4.6500000000000004</v>
      </c>
      <c r="F170" s="59">
        <f>E170-F171</f>
        <v>3.72</v>
      </c>
      <c r="G170" s="59">
        <f t="shared" ref="G170:J170" si="30">F170-G171</f>
        <v>2.79</v>
      </c>
      <c r="H170" s="59">
        <f t="shared" si="30"/>
        <v>1.8599999999999999</v>
      </c>
      <c r="I170" s="59">
        <f t="shared" si="30"/>
        <v>0.92999999999999983</v>
      </c>
      <c r="J170" s="59">
        <f t="shared" si="30"/>
        <v>0</v>
      </c>
      <c r="K170" s="73"/>
    </row>
    <row r="171" spans="2:12" x14ac:dyDescent="0.2">
      <c r="C171" s="23" t="s">
        <v>38</v>
      </c>
      <c r="D171" s="23"/>
      <c r="E171" s="23"/>
      <c r="F171" s="59">
        <f>$E$170/'Key Assumptions'!$E$9</f>
        <v>0.93</v>
      </c>
      <c r="G171" s="59">
        <f>$E$170/'Key Assumptions'!$E$9</f>
        <v>0.93</v>
      </c>
      <c r="H171" s="59">
        <f>$E$170/'Key Assumptions'!$E$9</f>
        <v>0.93</v>
      </c>
      <c r="I171" s="59">
        <f>$E$170/'Key Assumptions'!$E$9</f>
        <v>0.93</v>
      </c>
      <c r="J171" s="59">
        <f>$E$170/'Key Assumptions'!$E$9</f>
        <v>0.93</v>
      </c>
      <c r="K171" s="73"/>
      <c r="L171" s="1" t="s">
        <v>262</v>
      </c>
    </row>
    <row r="172" spans="2:12" x14ac:dyDescent="0.2">
      <c r="C172" s="23" t="s">
        <v>39</v>
      </c>
      <c r="D172" s="23"/>
      <c r="E172" s="23"/>
      <c r="F172" s="65">
        <f>AVERAGE(E170,F170)*'Key Assumptions'!$E$10</f>
        <v>0.58590000000000009</v>
      </c>
      <c r="G172" s="65">
        <f>AVERAGE(F170,G170)*'Key Assumptions'!$E$10</f>
        <v>0.45570000000000005</v>
      </c>
      <c r="H172" s="65">
        <f>AVERAGE(G170,H170)*'Key Assumptions'!$E$10</f>
        <v>0.32550000000000007</v>
      </c>
      <c r="I172" s="65">
        <f>AVERAGE(H170,I170)*'Key Assumptions'!$E$10</f>
        <v>0.1953</v>
      </c>
      <c r="J172" s="65">
        <f>AVERAGE(I170,J170)*'Key Assumptions'!$E$10</f>
        <v>6.5099999999999991E-2</v>
      </c>
      <c r="K172" s="73"/>
      <c r="L172" s="1" t="s">
        <v>263</v>
      </c>
    </row>
    <row r="173" spans="2:12" x14ac:dyDescent="0.2">
      <c r="C173" s="74" t="s">
        <v>169</v>
      </c>
      <c r="D173" s="33"/>
      <c r="E173" s="33"/>
      <c r="F173" s="71"/>
      <c r="G173" s="71"/>
      <c r="H173" s="71"/>
      <c r="I173" s="71"/>
      <c r="J173" s="71"/>
      <c r="K173" s="73"/>
    </row>
    <row r="174" spans="2:12" x14ac:dyDescent="0.2">
      <c r="C174" s="23" t="str">
        <f>C160</f>
        <v>Scenario 1, NPV=0, at Y=1</v>
      </c>
      <c r="D174" s="23" t="s">
        <v>28</v>
      </c>
      <c r="E174" s="23"/>
      <c r="F174" s="65">
        <f>F160-F$171</f>
        <v>1.4842800000000005</v>
      </c>
      <c r="G174" s="65">
        <f t="shared" ref="F174:J178" si="31">G160-G$171</f>
        <v>1.7691445800000003</v>
      </c>
      <c r="H174" s="65">
        <f t="shared" si="31"/>
        <v>2.0666584806000006</v>
      </c>
      <c r="I174" s="65">
        <f t="shared" si="31"/>
        <v>2.3777071542420019</v>
      </c>
      <c r="J174" s="65">
        <f t="shared" si="31"/>
        <v>2.7032380350389413</v>
      </c>
      <c r="K174" s="73"/>
    </row>
    <row r="175" spans="2:12" x14ac:dyDescent="0.2">
      <c r="B175" s="2"/>
      <c r="C175" s="23" t="str">
        <f t="shared" ref="C175:C178" si="32">C161</f>
        <v>Scenario 2, NPV=0, at Y=2</v>
      </c>
      <c r="D175" s="23" t="s">
        <v>28</v>
      </c>
      <c r="E175" s="23"/>
      <c r="F175" s="65">
        <f t="shared" si="31"/>
        <v>1.3087908476821193</v>
      </c>
      <c r="G175" s="65">
        <f t="shared" si="31"/>
        <v>1.5813711870198666</v>
      </c>
      <c r="H175" s="65">
        <f t="shared" si="31"/>
        <v>1.8657409501112583</v>
      </c>
      <c r="I175" s="65">
        <f t="shared" si="31"/>
        <v>2.1627253966190465</v>
      </c>
      <c r="J175" s="65">
        <f t="shared" si="31"/>
        <v>2.4732075543823795</v>
      </c>
      <c r="K175" s="73"/>
    </row>
    <row r="176" spans="2:12" x14ac:dyDescent="0.2">
      <c r="C176" s="23" t="str">
        <f t="shared" si="32"/>
        <v>Scenario 3, NPV=0, at Y=3</v>
      </c>
      <c r="D176" s="23" t="s">
        <v>28</v>
      </c>
      <c r="E176" s="23"/>
      <c r="F176" s="65">
        <f t="shared" si="31"/>
        <v>1.1512714821988403</v>
      </c>
      <c r="G176" s="65">
        <f>G162-G$171</f>
        <v>1.4128254659527593</v>
      </c>
      <c r="H176" s="65">
        <f t="shared" si="31"/>
        <v>1.6853970285694531</v>
      </c>
      <c r="I176" s="65">
        <f t="shared" si="31"/>
        <v>1.9697574005693155</v>
      </c>
      <c r="J176" s="65">
        <f t="shared" si="31"/>
        <v>2.2667317986091673</v>
      </c>
      <c r="K176" s="73"/>
    </row>
    <row r="177" spans="2:12" x14ac:dyDescent="0.2">
      <c r="C177" s="23" t="str">
        <f t="shared" si="32"/>
        <v>Scenario 4, NPV=0, at Y=4</v>
      </c>
      <c r="D177" s="23" t="s">
        <v>28</v>
      </c>
      <c r="E177" s="23"/>
      <c r="F177" s="65">
        <f t="shared" si="31"/>
        <v>1.0099917380625691</v>
      </c>
      <c r="G177" s="65">
        <f t="shared" si="31"/>
        <v>1.2616561397269499</v>
      </c>
      <c r="H177" s="65">
        <f t="shared" si="31"/>
        <v>1.5236458495078353</v>
      </c>
      <c r="I177" s="65">
        <f t="shared" si="31"/>
        <v>1.7966836389733856</v>
      </c>
      <c r="J177" s="65">
        <f t="shared" si="31"/>
        <v>2.0815428737015225</v>
      </c>
      <c r="K177" s="73"/>
    </row>
    <row r="178" spans="2:12" x14ac:dyDescent="0.2">
      <c r="C178" s="23" t="str">
        <f t="shared" si="32"/>
        <v>Scenario 5, NPV=0, at Y=5</v>
      </c>
      <c r="D178" s="23" t="s">
        <v>28</v>
      </c>
      <c r="E178" s="23"/>
      <c r="F178" s="65">
        <f t="shared" si="31"/>
        <v>0.88337505958464912</v>
      </c>
      <c r="G178" s="65">
        <f t="shared" si="31"/>
        <v>1.1261762937555737</v>
      </c>
      <c r="H178" s="65">
        <f t="shared" si="31"/>
        <v>1.3786824143184648</v>
      </c>
      <c r="I178" s="65">
        <f t="shared" si="31"/>
        <v>1.6415727633207582</v>
      </c>
      <c r="J178" s="65">
        <f t="shared" si="31"/>
        <v>1.9155742367532098</v>
      </c>
      <c r="K178" s="73"/>
    </row>
    <row r="181" spans="2:12" x14ac:dyDescent="0.2">
      <c r="K181" s="73"/>
    </row>
    <row r="182" spans="2:12" x14ac:dyDescent="0.2">
      <c r="B182" s="2" t="s">
        <v>276</v>
      </c>
      <c r="K182" s="73"/>
    </row>
    <row r="183" spans="2:12" x14ac:dyDescent="0.2">
      <c r="K183" s="73"/>
    </row>
    <row r="184" spans="2:12" x14ac:dyDescent="0.2">
      <c r="C184" s="23" t="str">
        <f>C174</f>
        <v>Scenario 1, NPV=0, at Y=1</v>
      </c>
      <c r="D184" s="23" t="s">
        <v>28</v>
      </c>
      <c r="E184" s="117">
        <f>-$E$169</f>
        <v>-4.6500000000000004</v>
      </c>
      <c r="F184" s="118">
        <f>E184+(F174)/(1+'Key Assumptions'!$E$23)^F$6</f>
        <v>-3.4079246861924686</v>
      </c>
      <c r="G184" s="118">
        <f>F184+(G174)/(1+'Key Assumptions'!$E$23)^G$6</f>
        <v>-2.1690496104760069</v>
      </c>
      <c r="H184" s="118">
        <f>G184+(H174)/(1+'Key Assumptions'!$E$23)^H$6</f>
        <v>-0.95799145485700543</v>
      </c>
      <c r="I184" s="118">
        <f>H184+(I174)/(1+'Key Assumptions'!$E$23)^I$6</f>
        <v>0.20797684588319187</v>
      </c>
      <c r="J184" s="118">
        <f>I184+(J174)/(1+'Key Assumptions'!$E$23)^J$6</f>
        <v>1.3172659903426691</v>
      </c>
      <c r="K184" s="73"/>
      <c r="L184" s="1" t="s">
        <v>269</v>
      </c>
    </row>
    <row r="185" spans="2:12" x14ac:dyDescent="0.2">
      <c r="C185" s="23" t="str">
        <f>C175</f>
        <v>Scenario 2, NPV=0, at Y=2</v>
      </c>
      <c r="D185" s="23" t="s">
        <v>28</v>
      </c>
      <c r="E185" s="117">
        <f t="shared" ref="E185:E188" si="33">-$E$169</f>
        <v>-4.6500000000000004</v>
      </c>
      <c r="F185" s="118">
        <f>E185+(F175)/(1+'Key Assumptions'!$E$23)^F$6</f>
        <v>-3.5547775333204026</v>
      </c>
      <c r="G185" s="118">
        <f>F185+(G175)/(1+'Key Assumptions'!$E$23)^G$6</f>
        <v>-2.4473941282540581</v>
      </c>
      <c r="H185" s="118">
        <f>G185+(H175)/(1+'Key Assumptions'!$E$23)^H$6</f>
        <v>-1.3540732844305587</v>
      </c>
      <c r="I185" s="118">
        <f>H185+(I175)/(1+'Key Assumptions'!$E$23)^I$6</f>
        <v>-0.29352667709721314</v>
      </c>
      <c r="J185" s="118">
        <f>I185+(J175)/(1+'Key Assumptions'!$E$23)^J$6</f>
        <v>0.72136814774274005</v>
      </c>
      <c r="K185" s="73"/>
      <c r="L185" s="1" t="s">
        <v>270</v>
      </c>
    </row>
    <row r="186" spans="2:12" x14ac:dyDescent="0.2">
      <c r="C186" s="23" t="str">
        <f>C176</f>
        <v>Scenario 3, NPV=0, at Y=3</v>
      </c>
      <c r="D186" s="23" t="s">
        <v>28</v>
      </c>
      <c r="E186" s="117">
        <f t="shared" si="33"/>
        <v>-4.6500000000000004</v>
      </c>
      <c r="F186" s="118">
        <f>E186+(F176)/(1+'Key Assumptions'!$E$23)^F$6</f>
        <v>-3.6865929019256569</v>
      </c>
      <c r="G186" s="118">
        <f>F186+(G176)/(1+'Key Assumptions'!$E$23)^G$6</f>
        <v>-2.6972366469912132</v>
      </c>
      <c r="H186" s="118">
        <f>G186+(H176)/(1+'Key Assumptions'!$E$23)^H$6</f>
        <v>-1.7095970170933488</v>
      </c>
      <c r="I186" s="118">
        <f>H186+(I176)/(1+'Key Assumptions'!$E$23)^I$6</f>
        <v>-0.74367710340052962</v>
      </c>
      <c r="J186" s="118">
        <f>I186+(J176)/(1+'Key Assumptions'!$E$23)^J$6</f>
        <v>0.18648921751024927</v>
      </c>
      <c r="K186" s="73"/>
    </row>
    <row r="187" spans="2:12" x14ac:dyDescent="0.2">
      <c r="C187" s="23" t="str">
        <f>C177</f>
        <v>Scenario 4, NPV=0, at Y=4</v>
      </c>
      <c r="D187" s="23" t="s">
        <v>28</v>
      </c>
      <c r="E187" s="117">
        <f t="shared" si="33"/>
        <v>-4.6500000000000004</v>
      </c>
      <c r="F187" s="118">
        <f>E187+(F177)/(1+'Key Assumptions'!$E$23)^F$6</f>
        <v>-3.804818629236344</v>
      </c>
      <c r="G187" s="118">
        <f>F187+(G177)/(1+'Key Assumptions'!$E$23)^G$6</f>
        <v>-2.9213213937348996</v>
      </c>
      <c r="H187" s="118">
        <f>G187+(H177)/(1+'Key Assumptions'!$E$23)^H$6</f>
        <v>-2.0284676640824837</v>
      </c>
      <c r="I187" s="118">
        <f>H187+(I177)/(1+'Key Assumptions'!$E$23)^I$6</f>
        <v>-1.1474188075132035</v>
      </c>
      <c r="J187" s="118">
        <f>I187+(J177)/(1+'Key Assumptions'!$E$23)^J$6</f>
        <v>-0.29324581808542605</v>
      </c>
      <c r="K187" s="73"/>
    </row>
    <row r="188" spans="2:12" x14ac:dyDescent="0.2">
      <c r="C188" s="23" t="str">
        <f>C178</f>
        <v>Scenario 5, NPV=0, at Y=5</v>
      </c>
      <c r="D188" s="23" t="s">
        <v>28</v>
      </c>
      <c r="E188" s="117">
        <f t="shared" si="33"/>
        <v>-4.6500000000000004</v>
      </c>
      <c r="F188" s="118">
        <f>E188+(F178)/(1+'Key Assumptions'!$E$23)^F$6</f>
        <v>-3.9107740087157752</v>
      </c>
      <c r="G188" s="118">
        <f>F188+(G178)/(1+'Key Assumptions'!$E$23)^G$6</f>
        <v>-3.1221489540034462</v>
      </c>
      <c r="H188" s="118">
        <f>G188+(H178)/(1+'Key Assumptions'!$E$23)^H$6</f>
        <v>-2.3142435368567638</v>
      </c>
      <c r="I188" s="118">
        <f>H188+(I178)/(1+'Key Assumptions'!$E$23)^I$6</f>
        <v>-1.5092571860457562</v>
      </c>
      <c r="J188" s="118">
        <f>I188+(J178)/(1+'Key Assumptions'!$E$23)^J$6</f>
        <v>-0.72319037332203928</v>
      </c>
    </row>
    <row r="190" spans="2:12" x14ac:dyDescent="0.2">
      <c r="C190" s="33"/>
      <c r="D190" s="33"/>
      <c r="F190" s="73"/>
      <c r="G190" s="73"/>
      <c r="H190" s="73"/>
      <c r="I190" s="73"/>
      <c r="J190" s="73"/>
      <c r="K190" s="73"/>
    </row>
    <row r="192" spans="2:12" x14ac:dyDescent="0.2">
      <c r="B192" s="2" t="s">
        <v>214</v>
      </c>
    </row>
    <row r="193" spans="3:12" x14ac:dyDescent="0.2">
      <c r="C193" s="23" t="s">
        <v>147</v>
      </c>
      <c r="D193" s="23" t="s">
        <v>20</v>
      </c>
      <c r="E193" s="78"/>
      <c r="F193" s="138">
        <f>$E$57/F174</f>
        <v>6.265664160401001</v>
      </c>
      <c r="K193" s="33"/>
      <c r="L193" s="1" t="s">
        <v>273</v>
      </c>
    </row>
    <row r="194" spans="3:12" x14ac:dyDescent="0.2">
      <c r="C194" s="23" t="s">
        <v>148</v>
      </c>
      <c r="D194" s="23" t="s">
        <v>20</v>
      </c>
      <c r="E194" s="78"/>
      <c r="F194" s="138">
        <f>$E$57/F175</f>
        <v>7.1057954114443778</v>
      </c>
      <c r="K194" s="33"/>
    </row>
    <row r="195" spans="3:12" x14ac:dyDescent="0.2">
      <c r="C195" s="23" t="s">
        <v>149</v>
      </c>
      <c r="D195" s="23" t="s">
        <v>20</v>
      </c>
      <c r="E195" s="78"/>
      <c r="F195" s="138">
        <f>$E$57/F176</f>
        <v>8.0780251607012037</v>
      </c>
      <c r="K195" s="33"/>
    </row>
    <row r="196" spans="3:12" x14ac:dyDescent="0.2">
      <c r="C196" s="23" t="s">
        <v>150</v>
      </c>
      <c r="D196" s="23" t="s">
        <v>20</v>
      </c>
      <c r="E196" s="78"/>
      <c r="F196" s="138">
        <f>$E$57/F177</f>
        <v>9.2079961147403608</v>
      </c>
      <c r="K196" s="33"/>
    </row>
    <row r="197" spans="3:12" x14ac:dyDescent="0.2">
      <c r="C197" s="23" t="s">
        <v>151</v>
      </c>
      <c r="D197" s="23" t="s">
        <v>20</v>
      </c>
      <c r="E197" s="78"/>
      <c r="F197" s="138">
        <f>$E$57/F178</f>
        <v>10.527804582090798</v>
      </c>
      <c r="K197" s="33"/>
    </row>
  </sheetData>
  <dataConsolidate/>
  <mergeCells count="1">
    <mergeCell ref="F21:J21"/>
  </mergeCells>
  <conditionalFormatting sqref="F20:J20 F187:J188 F190:J190 F185:I186 F184:H184">
    <cfRule type="cellIs" dxfId="5" priority="7" operator="greaterThan">
      <formula>0</formula>
    </cfRule>
  </conditionalFormatting>
  <conditionalFormatting sqref="F12:F16 I18:J19">
    <cfRule type="cellIs" dxfId="4" priority="2" operator="greaterThan">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Goalseek_contract">
                <anchor moveWithCells="1">
                  <from>
                    <xdr:col>1</xdr:col>
                    <xdr:colOff>47625</xdr:colOff>
                    <xdr:row>1</xdr:row>
                    <xdr:rowOff>47625</xdr:rowOff>
                  </from>
                  <to>
                    <xdr:col>2</xdr:col>
                    <xdr:colOff>38100</xdr:colOff>
                    <xdr:row>1</xdr:row>
                    <xdr:rowOff>457200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3:M174"/>
  <sheetViews>
    <sheetView zoomScale="85" zoomScaleNormal="85" workbookViewId="0">
      <pane ySplit="6" topLeftCell="A7" activePane="bottomLeft" state="frozen"/>
      <selection pane="bottomLeft" activeCell="B7" sqref="B7"/>
    </sheetView>
  </sheetViews>
  <sheetFormatPr defaultColWidth="9.140625" defaultRowHeight="12.75" x14ac:dyDescent="0.2"/>
  <cols>
    <col min="1" max="1" width="3.28515625" style="1" customWidth="1"/>
    <col min="2" max="2" width="37.140625" style="1" customWidth="1"/>
    <col min="3" max="3" width="44.140625" style="1" customWidth="1"/>
    <col min="4" max="4" width="17.28515625" style="1" bestFit="1" customWidth="1"/>
    <col min="5" max="10" width="12.85546875" style="1" customWidth="1"/>
    <col min="11" max="16" width="14.28515625" style="1" customWidth="1"/>
    <col min="17" max="16384" width="9.140625" style="1"/>
  </cols>
  <sheetData>
    <row r="3" spans="2:10" ht="15" x14ac:dyDescent="0.25">
      <c r="B3" s="75" t="s">
        <v>193</v>
      </c>
    </row>
    <row r="4" spans="2:10" ht="15" x14ac:dyDescent="0.25">
      <c r="B4" s="75" t="s">
        <v>225</v>
      </c>
    </row>
    <row r="5" spans="2:10" x14ac:dyDescent="0.2">
      <c r="D5" s="195" t="s">
        <v>27</v>
      </c>
      <c r="E5" s="196" t="s">
        <v>20</v>
      </c>
    </row>
    <row r="6" spans="2:10" x14ac:dyDescent="0.2">
      <c r="B6" s="2"/>
      <c r="C6" s="2"/>
      <c r="E6" s="3">
        <v>0</v>
      </c>
      <c r="F6" s="3"/>
      <c r="G6" s="3"/>
      <c r="H6" s="3"/>
      <c r="I6" s="3"/>
      <c r="J6" s="3"/>
    </row>
    <row r="7" spans="2:10" x14ac:dyDescent="0.2">
      <c r="D7" s="4"/>
    </row>
    <row r="8" spans="2:10" x14ac:dyDescent="0.2">
      <c r="B8" s="2" t="s">
        <v>194</v>
      </c>
    </row>
    <row r="9" spans="2:10" x14ac:dyDescent="0.2">
      <c r="C9" s="23" t="s">
        <v>195</v>
      </c>
      <c r="D9" s="23" t="s">
        <v>28</v>
      </c>
      <c r="E9" s="59">
        <f>'Capital cost estimates'!I11</f>
        <v>55</v>
      </c>
    </row>
    <row r="12" spans="2:10" x14ac:dyDescent="0.2">
      <c r="B12" s="2" t="s">
        <v>202</v>
      </c>
    </row>
    <row r="13" spans="2:10" x14ac:dyDescent="0.2">
      <c r="C13" s="23" t="s">
        <v>196</v>
      </c>
      <c r="D13" s="23" t="s">
        <v>28</v>
      </c>
      <c r="E13" s="113">
        <f>$E$9*(1+'Key Assumptions'!U7)</f>
        <v>63.249999999999993</v>
      </c>
      <c r="G13" s="4"/>
    </row>
    <row r="14" spans="2:10" x14ac:dyDescent="0.2">
      <c r="C14" s="23" t="s">
        <v>197</v>
      </c>
      <c r="D14" s="23" t="s">
        <v>28</v>
      </c>
      <c r="E14" s="113">
        <f>$E$9*(1+'Key Assumptions'!U8)</f>
        <v>66</v>
      </c>
      <c r="G14" s="4"/>
    </row>
    <row r="15" spans="2:10" x14ac:dyDescent="0.2">
      <c r="C15" s="23" t="s">
        <v>198</v>
      </c>
      <c r="D15" s="23" t="s">
        <v>28</v>
      </c>
      <c r="E15" s="113">
        <f>$E$9*(1+'Key Assumptions'!U9)</f>
        <v>68.75</v>
      </c>
      <c r="G15" s="4"/>
    </row>
    <row r="18" spans="2:5" x14ac:dyDescent="0.2">
      <c r="B18" s="2" t="s">
        <v>200</v>
      </c>
    </row>
    <row r="19" spans="2:5" x14ac:dyDescent="0.2">
      <c r="C19" s="23" t="s">
        <v>201</v>
      </c>
      <c r="D19" s="23" t="s">
        <v>28</v>
      </c>
      <c r="E19" s="66">
        <f>'Operating cost estimates'!K16</f>
        <v>5.6832799999999999</v>
      </c>
    </row>
    <row r="22" spans="2:5" x14ac:dyDescent="0.2">
      <c r="B22" s="2" t="s">
        <v>203</v>
      </c>
    </row>
    <row r="23" spans="2:5" x14ac:dyDescent="0.2">
      <c r="C23" s="23" t="s">
        <v>196</v>
      </c>
      <c r="D23" s="23" t="s">
        <v>28</v>
      </c>
      <c r="E23" s="102">
        <f>$E$19*(1+'Key Assumptions'!U7)</f>
        <v>6.5357719999999997</v>
      </c>
    </row>
    <row r="24" spans="2:5" x14ac:dyDescent="0.2">
      <c r="C24" s="23" t="s">
        <v>197</v>
      </c>
      <c r="D24" s="23" t="s">
        <v>28</v>
      </c>
      <c r="E24" s="102">
        <f>$E$19*(1+'Key Assumptions'!U8)</f>
        <v>6.8199359999999993</v>
      </c>
    </row>
    <row r="25" spans="2:5" x14ac:dyDescent="0.2">
      <c r="C25" s="23" t="s">
        <v>198</v>
      </c>
      <c r="D25" s="23" t="s">
        <v>28</v>
      </c>
      <c r="E25" s="102">
        <f>$E$19*(1+'Key Assumptions'!U9)</f>
        <v>7.1040999999999999</v>
      </c>
    </row>
    <row r="69" spans="13:13" x14ac:dyDescent="0.2">
      <c r="M69" s="100"/>
    </row>
    <row r="174" spans="12:12" x14ac:dyDescent="0.2">
      <c r="L174" s="1" t="s">
        <v>113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vt:lpstr>
      <vt:lpstr>Contents &amp; Instructions</vt:lpstr>
      <vt:lpstr>Input&gt;&gt;</vt:lpstr>
      <vt:lpstr>Key Assumptions</vt:lpstr>
      <vt:lpstr>Capital cost estimates</vt:lpstr>
      <vt:lpstr>Operating cost estimates</vt:lpstr>
      <vt:lpstr>Output&gt;&gt;</vt:lpstr>
      <vt:lpstr>Financial Analysis- Option 1</vt:lpstr>
      <vt:lpstr>Financial Analysis- Option 3,4 </vt:lpstr>
      <vt:lpstr>Financial Analysis- Option 2</vt:lpstr>
      <vt:lpstr>Option 2 - others models</vt:lpstr>
      <vt:lpstr>Financial Analysis- Option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Jigisha Jaiswal</cp:lastModifiedBy>
  <dcterms:created xsi:type="dcterms:W3CDTF">2014-04-30T13:14:33Z</dcterms:created>
  <dcterms:modified xsi:type="dcterms:W3CDTF">2017-08-16T08:48:16Z</dcterms:modified>
</cp:coreProperties>
</file>